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 (2)" sheetId="1" r:id="rId1"/>
  </sheets>
  <definedNames>
    <definedName name="_xlnm._FilterDatabase" localSheetId="0" hidden="1">'Лист1 (2)'!$A$6:$M$251</definedName>
    <definedName name="_xlnm.Print_Area" localSheetId="0">'Лист1 (2)'!$A$1:$J$252</definedName>
  </definedNames>
  <calcPr fullCalcOnLoad="1"/>
</workbook>
</file>

<file path=xl/sharedStrings.xml><?xml version="1.0" encoding="utf-8"?>
<sst xmlns="http://schemas.openxmlformats.org/spreadsheetml/2006/main" count="728" uniqueCount="457">
  <si>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</si>
  <si>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</si>
  <si>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</si>
  <si>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</si>
  <si>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</si>
  <si>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</si>
  <si>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</si>
  <si>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</si>
  <si>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</si>
  <si>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</si>
  <si>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</si>
  <si>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</si>
  <si>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Фаргона вилояти</t>
  </si>
  <si>
    <t>Самарканд вилояти</t>
  </si>
  <si>
    <t>Қорақалпоғистон Республикаси</t>
  </si>
  <si>
    <t>Сурхондарё вилояти</t>
  </si>
  <si>
    <t>Жиззах вилояти</t>
  </si>
  <si>
    <t>Сирдарё вилояти</t>
  </si>
  <si>
    <t>Навоий вилояти</t>
  </si>
  <si>
    <t>Андижон вилояти</t>
  </si>
  <si>
    <t>Сурхандарё вилояти</t>
  </si>
  <si>
    <t>Кашкадарё вилояти</t>
  </si>
  <si>
    <t>Қашқадарё вилояти</t>
  </si>
  <si>
    <t>Самарқанд вилояти</t>
  </si>
  <si>
    <t>Наманган вилояти</t>
  </si>
  <si>
    <t>15.09.2021 19.09.2021</t>
  </si>
  <si>
    <t xml:space="preserve">Фарғона вилояти </t>
  </si>
  <si>
    <t>Хоразм вилояти</t>
  </si>
  <si>
    <t>Бухоро  вилояти</t>
  </si>
  <si>
    <t>Фарғона вилояти</t>
  </si>
  <si>
    <t>Тошкент вилояти</t>
  </si>
  <si>
    <t>Наманган, Андижон вилоятлари</t>
  </si>
  <si>
    <t xml:space="preserve">Самарқанд вилояти </t>
  </si>
  <si>
    <t xml:space="preserve">Самарканд  вилояти </t>
  </si>
  <si>
    <t xml:space="preserve">Қорақалпоғистон Республикаси </t>
  </si>
  <si>
    <t xml:space="preserve">Жиззах вилояти </t>
  </si>
  <si>
    <t>Наманган, Фарғона, Андижон вилоятлари</t>
  </si>
  <si>
    <t>Транспорт ва темир йўл</t>
  </si>
  <si>
    <t>№01 х-с  от 04.01.2022</t>
  </si>
  <si>
    <t>10.11.2021 15.11.2021</t>
  </si>
  <si>
    <t xml:space="preserve"> Самарканд,Навоий, Бухоро вилоятлари</t>
  </si>
  <si>
    <t>№171/1 от 10.11.2021</t>
  </si>
  <si>
    <t>№149/1 с-с от 14.09.2021</t>
  </si>
  <si>
    <t>06.01.2022 07.01.2022</t>
  </si>
  <si>
    <t>№02 х-с                         от 05.01.2022</t>
  </si>
  <si>
    <t>13.01.2022 15.01.2022</t>
  </si>
  <si>
    <t>Навоий, Жиззах вилоятлари</t>
  </si>
  <si>
    <t>№03 х-с                         от 07.01.2022</t>
  </si>
  <si>
    <t>№06 х-с                         от 12.01.2022</t>
  </si>
  <si>
    <t xml:space="preserve">20.12.2021 23.12.2021 </t>
  </si>
  <si>
    <t>№423  от 01.12.2021</t>
  </si>
  <si>
    <t xml:space="preserve">13.01.2022 15.01.2022 </t>
  </si>
  <si>
    <t>№06 х-с 12.01.2021</t>
  </si>
  <si>
    <t>17.01.2022 27.01.2022</t>
  </si>
  <si>
    <t>Қорақалпоғистон Республикаси Хоразм вилояти</t>
  </si>
  <si>
    <t xml:space="preserve">№10 х-с от 16.01.2022 </t>
  </si>
  <si>
    <t>11.01.2022 22.01.2022</t>
  </si>
  <si>
    <t>№04 х-с 07.01.2021</t>
  </si>
  <si>
    <t>10.01.2022 29.01.2022</t>
  </si>
  <si>
    <t>№3 №4№5 07.01.2022</t>
  </si>
  <si>
    <t xml:space="preserve">31.01.2022 02.02.2022 </t>
  </si>
  <si>
    <t>№29  от 27.01.2022</t>
  </si>
  <si>
    <t>24.01.2022 26.01.2022</t>
  </si>
  <si>
    <t>№12 х-с  от 21.01.2022</t>
  </si>
  <si>
    <t>16.01.2022 18.01.2022</t>
  </si>
  <si>
    <t>№459 от 29.12.2021</t>
  </si>
  <si>
    <t>05.02.2022 06.02.2022</t>
  </si>
  <si>
    <t xml:space="preserve"> Жиззах вилояти</t>
  </si>
  <si>
    <t>№459  от 29.02.2021</t>
  </si>
  <si>
    <t>10.02.2022 11.02.2022</t>
  </si>
  <si>
    <t xml:space="preserve"> Самарқанд вилояти</t>
  </si>
  <si>
    <t>04.02.2022 08.02.2023</t>
  </si>
  <si>
    <t>№13х-с от 03.02.2022</t>
  </si>
  <si>
    <t>09.02.2022 11.02.2023</t>
  </si>
  <si>
    <t>№18 х-с от 09.02.2022</t>
  </si>
  <si>
    <t>04.02.2022 09.02.2022</t>
  </si>
  <si>
    <t>Қорақалпоғистон Республикаси, Хоразм вилояти</t>
  </si>
  <si>
    <t>№15 х-с                               от 03.02.2022</t>
  </si>
  <si>
    <t xml:space="preserve"> 09.02.2022</t>
  </si>
  <si>
    <t>№17 х-с                              от 09.02.2022</t>
  </si>
  <si>
    <t>22.02.2022 26.02.2022</t>
  </si>
  <si>
    <t>№22  х-с от 18.02.2022</t>
  </si>
  <si>
    <t>03.02.2022 09.02.2022</t>
  </si>
  <si>
    <t>№14  х-с от 03.02.2022</t>
  </si>
  <si>
    <t>№18  х-с от 11.02.2022</t>
  </si>
  <si>
    <t>24.02.2022 26.02.2022</t>
  </si>
  <si>
    <t>№23 х-с  от 21.02.2022</t>
  </si>
  <si>
    <t>09.02.2022 16.02.2022</t>
  </si>
  <si>
    <t>№17  х-с от 09.02.2022</t>
  </si>
  <si>
    <t>04.02.2022 05.02.2022</t>
  </si>
  <si>
    <t>№16  х-с от 04.02.2022</t>
  </si>
  <si>
    <t>14.02.2022 23.02.2022</t>
  </si>
  <si>
    <t>№41   от 09.02.2022</t>
  </si>
  <si>
    <t>24.01.2022 27.01.2022</t>
  </si>
  <si>
    <t>14.01.2022 15.01.2022</t>
  </si>
  <si>
    <t>№07 х-с  от 14.01.2022</t>
  </si>
  <si>
    <t>21.02.2022 03.03.2022</t>
  </si>
  <si>
    <t>Сирдарё, Жиззах, Наманган,Андижон.Фарғона вилоятлари</t>
  </si>
  <si>
    <t>№24 х-с  от21.02.2022</t>
  </si>
  <si>
    <t>21.02.2022 26.02.2022</t>
  </si>
  <si>
    <t>05.03.2022 06.03.2022</t>
  </si>
  <si>
    <t>№31  х-с от 04.03.2022</t>
  </si>
  <si>
    <t>№22/1  х-с от 19.02.2022</t>
  </si>
  <si>
    <t>02.03.2022 03.03.2022</t>
  </si>
  <si>
    <t>№27  х-с от 01.03.2022</t>
  </si>
  <si>
    <t>№30  х-с от 04.03.2022</t>
  </si>
  <si>
    <t>№22 х-с  от 18.02.2022</t>
  </si>
  <si>
    <t>09.02.2022 17.02.2022</t>
  </si>
  <si>
    <t>22.02.2022 10.03.2022</t>
  </si>
  <si>
    <t>№21  х-с от 17.02.2022</t>
  </si>
  <si>
    <t>05.03.2022 08.03.2022</t>
  </si>
  <si>
    <t>№28  х-с                      от 01.03.2022</t>
  </si>
  <si>
    <t>09.02.2022 26.02.2022</t>
  </si>
  <si>
    <t>№17  х-с                           от 09.02.2022</t>
  </si>
  <si>
    <t>№22  х-с                           от 18.02.2022</t>
  </si>
  <si>
    <t>22.02.2022 25.02.2022</t>
  </si>
  <si>
    <t>09.03.2022 14.03.2022</t>
  </si>
  <si>
    <t>№40  х-с                           от 09.03.2022</t>
  </si>
  <si>
    <t>02.03.2022 08.03.2022</t>
  </si>
  <si>
    <t>№6 к                           от 01.03.2022</t>
  </si>
  <si>
    <t>09.02.2022 12.02.2022</t>
  </si>
  <si>
    <t>№17 х-с                           от 09.02.2022</t>
  </si>
  <si>
    <t>02.03.2022 14.03.2022</t>
  </si>
  <si>
    <t>№6  К от 01.03.2022</t>
  </si>
  <si>
    <t xml:space="preserve">Андижон,Самарқанд вилояти </t>
  </si>
  <si>
    <t>№16/1  х-с                      от 06.02.2022</t>
  </si>
  <si>
    <t xml:space="preserve">07.03.2022 11.03.2022. 14.03.2022 17.03.2022. </t>
  </si>
  <si>
    <t>Бухоро, Навоий, Самарқанд, Хоразм вилоятлари. Қорақалпоғистон Республикаси</t>
  </si>
  <si>
    <t>№24  х-с                           от 21.02.2022</t>
  </si>
  <si>
    <t>10.03.2022 15.03.2022</t>
  </si>
  <si>
    <t>№39 х-с от 09.03.2022</t>
  </si>
  <si>
    <t>22.03.2022 23.03.2022</t>
  </si>
  <si>
    <t>№47 х-с от 18.03.2022</t>
  </si>
  <si>
    <t>10.03.2022 14.03.2022</t>
  </si>
  <si>
    <t>№38 х-с от 09.03.2022</t>
  </si>
  <si>
    <t>03.03.2022 16.03.2022</t>
  </si>
  <si>
    <t>№51 от 23.02.2022</t>
  </si>
  <si>
    <t>04.03.2022 06.03.2022</t>
  </si>
  <si>
    <t>№29 х-с от 04.03.2022</t>
  </si>
  <si>
    <t>№37 х-с от 09.03.2022</t>
  </si>
  <si>
    <t>09.03.2022 13.03.2022</t>
  </si>
  <si>
    <t>Бухоро, Навоий вилоятлари</t>
  </si>
  <si>
    <t>№43 х-с от 15.03.2023</t>
  </si>
  <si>
    <t>18 х-с от 09.02.2022</t>
  </si>
  <si>
    <t>14.03.2022 16.03.2022</t>
  </si>
  <si>
    <t>32 х-с 04.03.2022</t>
  </si>
  <si>
    <t>04.02.2022 08.02.2022</t>
  </si>
  <si>
    <t>15 х-с 03.02.2022</t>
  </si>
  <si>
    <t>36 х-с от 07.03.2022</t>
  </si>
  <si>
    <t>11.03.2022 15.03.2022</t>
  </si>
  <si>
    <t>41 х-с 10.03.2022</t>
  </si>
  <si>
    <t>11.03.2022 14.03.2022</t>
  </si>
  <si>
    <t>№11 х-с от 26.01.2022</t>
  </si>
  <si>
    <t>№27 х-с от 01.03.2022</t>
  </si>
  <si>
    <t>28.03.2022 01.04.2022</t>
  </si>
  <si>
    <t>№48 х-с от 24.03.2022</t>
  </si>
  <si>
    <t>25.03.2022 01.04.2022</t>
  </si>
  <si>
    <t>Андижон,Фарғона ва Наманган вилоятлари</t>
  </si>
  <si>
    <t>№49 х-с от 25.03.2022</t>
  </si>
  <si>
    <t>07.04.2022  11.04.2022</t>
  </si>
  <si>
    <t>№60 х-с от 06.04.2022</t>
  </si>
  <si>
    <t>03.04.2022 08.04.2022</t>
  </si>
  <si>
    <t>Сурхондарё,  Қашқадарё вилоятлари</t>
  </si>
  <si>
    <t>№24 х-с от 21.02.2022</t>
  </si>
  <si>
    <t>29.03.2022 01.04.2022</t>
  </si>
  <si>
    <t>№51 х-с от 25.03.2022</t>
  </si>
  <si>
    <t>05.04.2022 10.04.2022</t>
  </si>
  <si>
    <t xml:space="preserve">Смарқанд, Қашқадарё вилоятлари </t>
  </si>
  <si>
    <t>№55 х-с от 02.04.2022</t>
  </si>
  <si>
    <t>28.03.2022 18.04.2022</t>
  </si>
  <si>
    <t>№114 от 28.03.2022 №459 от 29.12.2021</t>
  </si>
  <si>
    <t>06.04.2022 08.04.2022</t>
  </si>
  <si>
    <t xml:space="preserve">Смарқанд вилояти </t>
  </si>
  <si>
    <t>№59 от 05.04.2022</t>
  </si>
  <si>
    <t>30.03.2022 31.03.2022</t>
  </si>
  <si>
    <t>Қорақалпоғистон Республикаси.</t>
  </si>
  <si>
    <t>№52 от 28.03.2022</t>
  </si>
  <si>
    <t>14.04.2022  15.04.2022</t>
  </si>
  <si>
    <t xml:space="preserve">Кашкадарё вилояти </t>
  </si>
  <si>
    <t>№65 от 13.04.2022г.</t>
  </si>
  <si>
    <t>20.04.2022  23.04.2022</t>
  </si>
  <si>
    <t>№69 от 18.04.2022г.</t>
  </si>
  <si>
    <t xml:space="preserve">Самарканд вилояти </t>
  </si>
  <si>
    <t>№62 х-с от 08.04.2022г.</t>
  </si>
  <si>
    <t>28.03.2022  30.04.2022</t>
  </si>
  <si>
    <t xml:space="preserve">Сирдарё, Кашкадарё, Сурхондарё вилоятлари, </t>
  </si>
  <si>
    <t>№108 от 25.03.2022г. №111 от  28.03.2022г.№121 от 01.04.2022г.№135 от 11.04.2022г.</t>
  </si>
  <si>
    <t>29.03.2022  16.04.2022</t>
  </si>
  <si>
    <t>№103 от 17.03.2022г. №108 от  25.03.2022г</t>
  </si>
  <si>
    <t>21.04.2022 24.04.2022</t>
  </si>
  <si>
    <t xml:space="preserve"> Андижон вилояти</t>
  </si>
  <si>
    <t>№144 от15.04.2022 г.</t>
  </si>
  <si>
    <t>13.04.2022 19.04.2022</t>
  </si>
  <si>
    <t>№64 от11.04.2022 г.</t>
  </si>
  <si>
    <t>19.04.2022 23.04.2022</t>
  </si>
  <si>
    <t>№69 от18.04.2022 г.</t>
  </si>
  <si>
    <t>15.04.2022 18.04.2022</t>
  </si>
  <si>
    <t>№66 от13.04.2022 г.</t>
  </si>
  <si>
    <t>06.04.2022 11.04.2022</t>
  </si>
  <si>
    <t>№55 х-с от04.04.2022 г.</t>
  </si>
  <si>
    <t>Самарканд, Бухоро вилоятлари</t>
  </si>
  <si>
    <t>№108 от 25.03.2022г.</t>
  </si>
  <si>
    <t>21.04.2022 23.04.2022</t>
  </si>
  <si>
    <t>29.03.2022 28.04.2022</t>
  </si>
  <si>
    <t>Коракалпогистон Республикаси, Хоразм, Самарканд вилоятлари</t>
  </si>
  <si>
    <t>25.03.2022 02.04.2022</t>
  </si>
  <si>
    <t>Фаргона, Андижон, Наманган вилоятлари</t>
  </si>
  <si>
    <t>№69 х-с от 18.04.2022</t>
  </si>
  <si>
    <t>№63 х/с 11.04.2022 г.</t>
  </si>
  <si>
    <t>06.04.2022  08.04.2022</t>
  </si>
  <si>
    <t>№59 от 05.04.2022г.</t>
  </si>
  <si>
    <t>28.03.2022 16.04.2022</t>
  </si>
  <si>
    <t>№108 от25.03.2022 г.     №125 от 05.04.2022</t>
  </si>
  <si>
    <t>17.04.2022 30.04.2022</t>
  </si>
  <si>
    <t>№108 от25.03.2022 г.     №125 от 05.04.2023 №114 от 28.03.2022</t>
  </si>
  <si>
    <t>11.05.2022 14.05.2022</t>
  </si>
  <si>
    <t>№79 х/с 06.05.2022 г.</t>
  </si>
  <si>
    <t>10.05.2022 13.05.2022</t>
  </si>
  <si>
    <t>№78 х/с 05.05.2022 г.</t>
  </si>
  <si>
    <t>10.04.2022 13.04.2022</t>
  </si>
  <si>
    <t xml:space="preserve">Жиззах, Сирдарё,Тошкент вилоятлари </t>
  </si>
  <si>
    <t>№57 х/с 04.04.2022 г.</t>
  </si>
  <si>
    <t>16.04.2022 18.04.2022</t>
  </si>
  <si>
    <t xml:space="preserve">Хоразм вилояти </t>
  </si>
  <si>
    <t>№66/1 х/с 15.04.2022 г.</t>
  </si>
  <si>
    <t>06.05.2022 09.05.2022</t>
  </si>
  <si>
    <t>06.05.2022 14.05.2022</t>
  </si>
  <si>
    <t>10.03.2022 20.03.2022</t>
  </si>
  <si>
    <t>№52 23.02.2022</t>
  </si>
  <si>
    <t>19.04.2022 30.04.2022</t>
  </si>
  <si>
    <t>Қашқадарё, Сурхондарё вилоятлари</t>
  </si>
  <si>
    <t>№68 х/с 18.04.2022 г.</t>
  </si>
  <si>
    <t>07.05.2022 10.05.2022</t>
  </si>
  <si>
    <t>№82 х/с 07.05.2022 г.</t>
  </si>
  <si>
    <t>14.04.2022 22.04.2022</t>
  </si>
  <si>
    <t xml:space="preserve">Қашқадарё вилояти </t>
  </si>
  <si>
    <t xml:space="preserve">№65 х/с 13.04.2022 г.  №69 х/с 18.04.2022 г. </t>
  </si>
  <si>
    <t>18.05.2022 21.05.2022</t>
  </si>
  <si>
    <t>17.05.2022 22.05.2022</t>
  </si>
  <si>
    <t>Навоий Вилояти</t>
  </si>
  <si>
    <t>№83 х/с 17.05.2022 г.</t>
  </si>
  <si>
    <t>Самарқанд  вилояти</t>
  </si>
  <si>
    <t>№88 х/с 22.05.2022 г.</t>
  </si>
  <si>
    <t>31.03.2022 31.03.2022</t>
  </si>
  <si>
    <t>№53 х/с 30.03.2022 г.</t>
  </si>
  <si>
    <t>29.04.2022 05.05.2022</t>
  </si>
  <si>
    <t>№75 х/с 26.03.2022 г.</t>
  </si>
  <si>
    <t>20.04.2022 24.04.2022</t>
  </si>
  <si>
    <t>№69 х/с 18.04.2022</t>
  </si>
  <si>
    <t>27.07.2022 01.05.2022</t>
  </si>
  <si>
    <t>№76 х/с 27.04.2022 г.</t>
  </si>
  <si>
    <t>11.04.2022 16.04.2023</t>
  </si>
  <si>
    <t>№56 х/с 04.04.2022</t>
  </si>
  <si>
    <t>18.04.2022 28.04.2024</t>
  </si>
  <si>
    <t>№70 х/с 18.04.2022</t>
  </si>
  <si>
    <t>22.04.2022 27.04.2022</t>
  </si>
  <si>
    <t>Сирдарё, Тошкент вилоятлари</t>
  </si>
  <si>
    <t>№57 х/с 04.04.2022</t>
  </si>
  <si>
    <t>05.04.2022 13.04.2022</t>
  </si>
  <si>
    <t>21.05.2022 28.05.2022</t>
  </si>
  <si>
    <t xml:space="preserve">Смарқанд  вилояти </t>
  </si>
  <si>
    <t>№198 х/с 20.05.2022 г.</t>
  </si>
  <si>
    <t>18.05.2022 04.06.2022</t>
  </si>
  <si>
    <t>№85 х/с 17.05.2022 г.</t>
  </si>
  <si>
    <t>08.06.2022 18.06.2022</t>
  </si>
  <si>
    <t>№234  30.05.2022</t>
  </si>
  <si>
    <t>26.04.2022 30.04.2022</t>
  </si>
  <si>
    <t xml:space="preserve">Кашкадарё  вилояти </t>
  </si>
  <si>
    <t>№71 х-с 25.04.2022</t>
  </si>
  <si>
    <t>25.05.2022 13.06.2022</t>
  </si>
  <si>
    <t xml:space="preserve">№206 х-с 207 х-с 208 х-с 209 х-с 2010  от 23.05.2022 </t>
  </si>
  <si>
    <t>25.05.2022 11.06.2022</t>
  </si>
  <si>
    <t>06.05.2022 13.05.2022</t>
  </si>
  <si>
    <t>№79 х-с 05.05.2022</t>
  </si>
  <si>
    <t>15.06.2022 16.06.2022</t>
  </si>
  <si>
    <t>Самарканд, Навоий вилоятлари</t>
  </si>
  <si>
    <t>№96 х-с 14.06.2022</t>
  </si>
  <si>
    <t>20.06.2022 23.06.2022</t>
  </si>
  <si>
    <t>№89 х-с 30.05.2022</t>
  </si>
  <si>
    <t>Самарканд,Навоий, Бухоро вилоятлари</t>
  </si>
  <si>
    <t>№104 х-с 20.06.2022</t>
  </si>
  <si>
    <t>26.05.2022 30.05.2022</t>
  </si>
  <si>
    <t>№85-1 х-с от 26.05.2022</t>
  </si>
  <si>
    <t>31.05.2022 04.06.2022</t>
  </si>
  <si>
    <t>№89-1 х-с от 31.05.2022</t>
  </si>
  <si>
    <t>№101 х-с 14.06.2022</t>
  </si>
  <si>
    <t>01.06.2022 03.06.2022</t>
  </si>
  <si>
    <t>№90 х-с 31.05.2022</t>
  </si>
  <si>
    <t>16.06.2022 18.06.2022</t>
  </si>
  <si>
    <t>№102 х-с 15.06.2022</t>
  </si>
  <si>
    <t>№89-1 х-с 31.05.2022</t>
  </si>
  <si>
    <t>06.05.2022 14.06.2022</t>
  </si>
  <si>
    <t>27.04.2022 01.05.2022</t>
  </si>
  <si>
    <t>№76 х-с 27.04.2022</t>
  </si>
  <si>
    <t>23.05.2022 25.05.2022</t>
  </si>
  <si>
    <t>№87 х-с 20.05.2022</t>
  </si>
  <si>
    <t>27.06.2022 29.06.2022</t>
  </si>
  <si>
    <t>№98 х-с 14.06.2022</t>
  </si>
  <si>
    <t>03.06.2022 0406.2022</t>
  </si>
  <si>
    <t xml:space="preserve">Фаргона  вилояти </t>
  </si>
  <si>
    <t>25.05.2022 27.05.2022</t>
  </si>
  <si>
    <t>№86 х-с 20.05.2022</t>
  </si>
  <si>
    <t>18.05.2022 19.05.2022</t>
  </si>
  <si>
    <t>№84 х-с 17.05.2022</t>
  </si>
  <si>
    <t>03.06.2022 05.06.2022</t>
  </si>
  <si>
    <t xml:space="preserve">№90 х-с  от 31.05.2022 </t>
  </si>
  <si>
    <t>03.06.2022 04.06.2022</t>
  </si>
  <si>
    <t>№90 х-с  от 31.05.2023</t>
  </si>
  <si>
    <t>12.05.2022 30.06.2022</t>
  </si>
  <si>
    <t xml:space="preserve">Жиззах, Самарқанд вилоятлари </t>
  </si>
  <si>
    <t>№180 от 10.05.2022             №189 от 18.05.2022</t>
  </si>
  <si>
    <t>02.06.2022 03.06.2022</t>
  </si>
  <si>
    <t xml:space="preserve">Бухоро вилояти </t>
  </si>
  <si>
    <t>№100 х/с 14.06.2022 г.</t>
  </si>
  <si>
    <t>15.06.2022 17.06.2022</t>
  </si>
  <si>
    <t>№97 х/с 14.06.2022 г.</t>
  </si>
  <si>
    <t>10.06.2022 28.06.2022</t>
  </si>
  <si>
    <t>259-хс от 10.06.2022 г.</t>
  </si>
  <si>
    <t>03.06.2022  05.06.2022</t>
  </si>
  <si>
    <t>№91 х-с от 31.05.2022</t>
  </si>
  <si>
    <t>17.06.2022 30.06.2022</t>
  </si>
  <si>
    <t>Жиззах, Навоий вилоятлари</t>
  </si>
  <si>
    <t>99-хс от 14.06.2022 г.   230- от 30.06.2022 г.</t>
  </si>
  <si>
    <t>25.03.2022 04.04.2022</t>
  </si>
  <si>
    <t>44-хс от 15.03.2022 г.</t>
  </si>
  <si>
    <t>21.06.2022 29.06.2022</t>
  </si>
  <si>
    <t>105.1-хс от 21.06.2022 г.</t>
  </si>
  <si>
    <t>18.05.2022 28.05.2022</t>
  </si>
  <si>
    <t>№84 х-с от 17.05.2022 г.</t>
  </si>
  <si>
    <t>10.05.2022  02.07.2022</t>
  </si>
  <si>
    <t>Самарканд, Сирдарё, Кашкадарё вилоятлари</t>
  </si>
  <si>
    <t>Приказ № 289 от 04.07.2022 г.  №201-№202 от 23.05.2022 г. №114 от 28.03.2022 г.</t>
  </si>
  <si>
    <t>04.07.2022  08.07.2022</t>
  </si>
  <si>
    <t>Приказ №278-278/1 от 27.06.2022 г.</t>
  </si>
  <si>
    <t>№2 с 25.01.2022 г.</t>
  </si>
  <si>
    <t>02.07.2022 07.07.2022</t>
  </si>
  <si>
    <t>№109 х-с 27.06.2022</t>
  </si>
  <si>
    <t>18.06.2022 19.06.2022</t>
  </si>
  <si>
    <t>15.06.2022 20.06.2022</t>
  </si>
  <si>
    <t>22.06.2022 27.06.2022</t>
  </si>
  <si>
    <t>№271 от 20.06.2022</t>
  </si>
  <si>
    <t>05.06.2022 17.06.2022</t>
  </si>
  <si>
    <t>№92 х-с 03.06.2022</t>
  </si>
  <si>
    <t>29.06.2022 08.07.2022</t>
  </si>
  <si>
    <t>№114   от 28.05.2022</t>
  </si>
  <si>
    <t>15.06.2022 19.06.2022</t>
  </si>
  <si>
    <t>№97 х-с 14.06.2022 г.</t>
  </si>
  <si>
    <t>15.07.2022 18.07.2022</t>
  </si>
  <si>
    <t>№302 от 07.07.2022</t>
  </si>
  <si>
    <t>04.07.2022 08.07.2022</t>
  </si>
  <si>
    <t>№278 от 27.07.2022</t>
  </si>
  <si>
    <t>27.06.2022 28.06.2022</t>
  </si>
  <si>
    <t>№109 х-с от 27.06.2022</t>
  </si>
  <si>
    <t>№271  от 20.06.2022 г.</t>
  </si>
  <si>
    <t>28.06.2022 31.06.2022</t>
  </si>
  <si>
    <t>№289  от 04.07.2022 г.</t>
  </si>
  <si>
    <t>22.07.2022 23.07.2022</t>
  </si>
  <si>
    <t>№119 х/с 21.07.2022 г.</t>
  </si>
  <si>
    <t>Қорақапоғистон Рес. Хоразм, Бухоро, Навоий вилоятлари</t>
  </si>
  <si>
    <t>№32 х-с от 04.03.2022 г.</t>
  </si>
  <si>
    <t>№97 х-с от 14.06.2022 г.</t>
  </si>
  <si>
    <t>31.05.2022 15.06.2022</t>
  </si>
  <si>
    <t>№88.1 от 23.05.2022 г.</t>
  </si>
  <si>
    <t>13.07.2022 17.07.2022</t>
  </si>
  <si>
    <t>Қорақапоғистон Рес-си.</t>
  </si>
  <si>
    <t>№289 от 04.07.2022 г.</t>
  </si>
  <si>
    <t>18.07.2022 27.07.2022</t>
  </si>
  <si>
    <t>28.07.2022 30.07.2022</t>
  </si>
  <si>
    <t>10.05.2022   14.05.2022</t>
  </si>
  <si>
    <t>№81 х-с 06.05.2022</t>
  </si>
  <si>
    <t>31.05.2022 02.06.2022</t>
  </si>
  <si>
    <t>26.07.2022  03.08.2022</t>
  </si>
  <si>
    <t>№120 х-с 21.07.2022</t>
  </si>
  <si>
    <t>21.07.2022 30.07.2022</t>
  </si>
  <si>
    <t>№314,315,316,317 от 18.07.2022 г.</t>
  </si>
  <si>
    <t>12.07.2022 20.07.2022</t>
  </si>
  <si>
    <t>№115 х/с 08.07.2022 г.</t>
  </si>
  <si>
    <t>25.07.2022 29.07.2022</t>
  </si>
  <si>
    <t>№120 х-с от 21.07.2022 г.</t>
  </si>
  <si>
    <t>18.07.2022 24.07.2022</t>
  </si>
  <si>
    <t>№116 х-с от 14.07.2022 г.</t>
  </si>
  <si>
    <t>27.07.2022 13.08.2022</t>
  </si>
  <si>
    <t>№336 от 22.07.2022</t>
  </si>
  <si>
    <t>03.08.2022 11.08.2022</t>
  </si>
  <si>
    <t>№123 х-с от 02.08.2022 г.</t>
  </si>
  <si>
    <t>09.08.2022 16.08.2022</t>
  </si>
  <si>
    <t>Тошкент вилояти Ангрен шаҳри</t>
  </si>
  <si>
    <t>№125.1 х/с 08.08.2022 г.</t>
  </si>
  <si>
    <t>05.05.2022 06.05.2022</t>
  </si>
  <si>
    <t>№79.1 х/с 05.05.2022г.</t>
  </si>
  <si>
    <t>04.08.2022 06.08.2022</t>
  </si>
  <si>
    <t>№123,1 х/с 02.08.2022 г.</t>
  </si>
  <si>
    <t>10.06.2022 11.06.2022</t>
  </si>
  <si>
    <t>№129 х/с 12.08.2022 г.</t>
  </si>
  <si>
    <t>№124 х/с 05.08.2022 г.</t>
  </si>
  <si>
    <t>11.08.2022 13.08.2022</t>
  </si>
  <si>
    <t>№126 х/с 09.08.2022 г.</t>
  </si>
  <si>
    <t>23.08.2022 24.08.2022</t>
  </si>
  <si>
    <t>№135 х/с 22.08.2022 г.</t>
  </si>
  <si>
    <t>№88х/с 22.05.2022 г.</t>
  </si>
  <si>
    <t>08.08.2022 09.08.2022</t>
  </si>
  <si>
    <t>Самарқанд, Қашқадарё  вилоятлари</t>
  </si>
  <si>
    <t>№125 х/с 08.08.2022 г.</t>
  </si>
  <si>
    <t>16.08.2022 17.08.2022</t>
  </si>
  <si>
    <t>№132 х/с 15.08.2022 г.</t>
  </si>
  <si>
    <t>27.06.2022 07.07.2022</t>
  </si>
  <si>
    <t>№108 х/с 21.06.2022 г.</t>
  </si>
  <si>
    <t>06.07.2022 17.07.2022</t>
  </si>
  <si>
    <t>№114 х/с 06.07.2022 г.</t>
  </si>
  <si>
    <t>01.04.2022 02.04.2022</t>
  </si>
  <si>
    <t>№54 х/с 30.03.2022 г.</t>
  </si>
  <si>
    <t>25.06.2022 29.06.2022</t>
  </si>
  <si>
    <t>№106 х/с 23.06.2022 г.</t>
  </si>
  <si>
    <t>№75 х/с 26.04.2022 г.</t>
  </si>
  <si>
    <t>Самарқанд, Навоий  вилоятлари</t>
  </si>
  <si>
    <t>№96 х/с 14.06.2022 г.</t>
  </si>
  <si>
    <t>25.07.2022 19.08.2022</t>
  </si>
  <si>
    <t>№122 х/с 25.07.2022</t>
  </si>
  <si>
    <t>16.08.2022 26.08.2022</t>
  </si>
  <si>
    <t>№130 х/с 15.08.2022</t>
  </si>
  <si>
    <t>25.08.2022 30.08.2022</t>
  </si>
  <si>
    <t>№395 24.08.2022 г. №285 04.07.2022 г.</t>
  </si>
  <si>
    <t>16.08.2022 18.08.2022</t>
  </si>
  <si>
    <t>№133 х/с 15.08.2022</t>
  </si>
  <si>
    <t>05.08.2022 27.08.2022</t>
  </si>
  <si>
    <t>№344 №360 №361  02.08.2022</t>
  </si>
  <si>
    <t>31.03.2022 01.04.2022</t>
  </si>
  <si>
    <t>№51 х/с 25.03.2022 г.</t>
  </si>
  <si>
    <t>№88,1 х/с 23.05.2022 г.</t>
  </si>
  <si>
    <t>18.05.2022 20.05.2022</t>
  </si>
  <si>
    <t>№84 х-с от 17.05.2022</t>
  </si>
  <si>
    <t>09.06.2022 17.06.2022</t>
  </si>
  <si>
    <t>№93 х-с от 08.06.2022</t>
  </si>
  <si>
    <t>14.07.2022 31.08.2022</t>
  </si>
  <si>
    <t>Самарқанд Сурхондарё вилоятлари</t>
  </si>
  <si>
    <t>№189 от 18.05.2022 г. №318 от 19.07.2022 г.</t>
  </si>
  <si>
    <t>16.08.2022 25.08.2022</t>
  </si>
  <si>
    <t>№131  от 15.08.2022 г.</t>
  </si>
  <si>
    <t>18.07.2022 22.07.2022</t>
  </si>
  <si>
    <t>№117  от 17.07.2022 г.</t>
  </si>
  <si>
    <t>24.08.2022 09.09.2022</t>
  </si>
  <si>
    <t>№397  24.08.2022 г.</t>
  </si>
  <si>
    <t>10.09.2022 17.09.2022</t>
  </si>
  <si>
    <t>№429 от 09.09.2022 г.</t>
  </si>
  <si>
    <t>07.09.2022 10.09.2022</t>
  </si>
  <si>
    <t>№146 х-с 07.09.2022</t>
  </si>
  <si>
    <t>07.09.2022 11.09.2023</t>
  </si>
  <si>
    <t>№146 х-с 07.09.2023</t>
  </si>
  <si>
    <t>04.09.2022 17.09.2022</t>
  </si>
  <si>
    <t>Навоий,Самарқанд вилоятлари</t>
  </si>
  <si>
    <t>№289  04.07.2022 г.</t>
  </si>
  <si>
    <t>21.09.2022 24.09.2022</t>
  </si>
  <si>
    <t>№149 от 16.09.2022 г.</t>
  </si>
  <si>
    <t>23.09.2022 26.09.2022</t>
  </si>
  <si>
    <t>№151 х-с от 22.09.2022 г.</t>
  </si>
  <si>
    <t>10.09.2022 18.09.2022</t>
  </si>
  <si>
    <t>Мансабдор шахсларнинг хизмат сафарлари ва хориждан ташриф буюрган меҳмонларни кутиб олиш харажатлари  (2022 йил 9 ой давомида)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</si>
</sst>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/>
    </xf>
    <xf numFmtId="0" fontId="50" fillId="33" borderId="11" xfId="0" applyFont="1" applyFill="1" applyBorder="1" applyAlignment="1">
      <alignment/>
    </xf>
    <xf numFmtId="167" fontId="53" fillId="33" borderId="11" xfId="6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 wrapText="1"/>
    </xf>
    <xf numFmtId="167" fontId="3" fillId="33" borderId="1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66" fontId="3" fillId="33" borderId="11" xfId="6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66" fontId="54" fillId="33" borderId="10" xfId="60" applyNumberFormat="1" applyFont="1" applyFill="1" applyBorder="1" applyAlignment="1">
      <alignment horizontal="center" vertical="center" wrapText="1"/>
    </xf>
    <xf numFmtId="166" fontId="54" fillId="33" borderId="10" xfId="60" applyNumberFormat="1" applyFont="1" applyFill="1" applyBorder="1" applyAlignment="1">
      <alignment horizontal="center" vertical="center"/>
    </xf>
    <xf numFmtId="166" fontId="54" fillId="33" borderId="11" xfId="60" applyNumberFormat="1" applyFont="1" applyFill="1" applyBorder="1" applyAlignment="1">
      <alignment horizontal="center" vertical="center"/>
    </xf>
    <xf numFmtId="3" fontId="51" fillId="33" borderId="11" xfId="0" applyNumberFormat="1" applyFont="1" applyFill="1" applyBorder="1" applyAlignment="1">
      <alignment horizontal="center" vertical="center"/>
    </xf>
    <xf numFmtId="167" fontId="51" fillId="33" borderId="11" xfId="0" applyNumberFormat="1" applyFont="1" applyFill="1" applyBorder="1" applyAlignment="1">
      <alignment horizontal="center" vertical="center"/>
    </xf>
    <xf numFmtId="166" fontId="55" fillId="33" borderId="10" xfId="60" applyNumberFormat="1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6" fontId="54" fillId="34" borderId="10" xfId="60" applyNumberFormat="1" applyFont="1" applyFill="1" applyBorder="1" applyAlignment="1">
      <alignment horizontal="center" vertical="center" wrapText="1"/>
    </xf>
    <xf numFmtId="166" fontId="54" fillId="34" borderId="10" xfId="60" applyNumberFormat="1" applyFont="1" applyFill="1" applyBorder="1" applyAlignment="1">
      <alignment horizontal="center" vertical="center"/>
    </xf>
    <xf numFmtId="14" fontId="51" fillId="35" borderId="10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166" fontId="54" fillId="35" borderId="10" xfId="60" applyNumberFormat="1" applyFont="1" applyFill="1" applyBorder="1" applyAlignment="1">
      <alignment horizontal="center" vertical="center" wrapText="1"/>
    </xf>
    <xf numFmtId="166" fontId="54" fillId="35" borderId="10" xfId="60" applyNumberFormat="1" applyFont="1" applyFill="1" applyBorder="1" applyAlignment="1">
      <alignment horizontal="center" vertical="center"/>
    </xf>
    <xf numFmtId="167" fontId="54" fillId="33" borderId="10" xfId="6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6" fontId="52" fillId="0" borderId="15" xfId="6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2"/>
  <sheetViews>
    <sheetView tabSelected="1" view="pageBreakPreview" zoomScale="90" zoomScaleNormal="90" zoomScaleSheetLayoutView="90" workbookViewId="0" topLeftCell="A2">
      <selection activeCell="A5" sqref="A5:A6"/>
    </sheetView>
  </sheetViews>
  <sheetFormatPr defaultColWidth="9.140625" defaultRowHeight="15"/>
  <cols>
    <col min="1" max="1" width="5.7109375" style="1" bestFit="1" customWidth="1"/>
    <col min="2" max="2" width="14.8515625" style="2" customWidth="1"/>
    <col min="3" max="3" width="23.421875" style="3" customWidth="1"/>
    <col min="4" max="4" width="20.28125" style="2" customWidth="1"/>
    <col min="5" max="5" width="9.421875" style="2" customWidth="1"/>
    <col min="6" max="6" width="20.00390625" style="2" customWidth="1"/>
    <col min="7" max="7" width="17.8515625" style="2" customWidth="1"/>
    <col min="8" max="8" width="19.28125" style="2" customWidth="1"/>
    <col min="9" max="9" width="17.421875" style="2" customWidth="1"/>
    <col min="10" max="10" width="18.57421875" style="2" customWidth="1"/>
    <col min="11" max="16384" width="9.140625" style="1" customWidth="1"/>
  </cols>
  <sheetData>
    <row r="1" ht="18.75" hidden="1"/>
    <row r="2" spans="2:10" ht="22.5">
      <c r="B2" s="53"/>
      <c r="C2" s="53"/>
      <c r="D2" s="53"/>
      <c r="E2" s="53"/>
      <c r="F2" s="53"/>
      <c r="G2" s="53"/>
      <c r="H2" s="53"/>
      <c r="I2" s="53"/>
      <c r="J2" s="53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54" t="s">
        <v>456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.75" customHeight="1">
      <c r="A5" s="55" t="s">
        <v>0</v>
      </c>
      <c r="B5" s="57" t="s">
        <v>1</v>
      </c>
      <c r="C5" s="58"/>
      <c r="D5" s="59" t="s">
        <v>2</v>
      </c>
      <c r="E5" s="57" t="s">
        <v>3</v>
      </c>
      <c r="F5" s="61"/>
      <c r="G5" s="61"/>
      <c r="H5" s="61"/>
      <c r="I5" s="61"/>
      <c r="J5" s="59" t="s">
        <v>4</v>
      </c>
    </row>
    <row r="6" spans="1:10" ht="66" customHeight="1">
      <c r="A6" s="56"/>
      <c r="B6" s="13" t="s">
        <v>5</v>
      </c>
      <c r="C6" s="14" t="s">
        <v>6</v>
      </c>
      <c r="D6" s="60"/>
      <c r="E6" s="14" t="s">
        <v>7</v>
      </c>
      <c r="F6" s="27" t="s">
        <v>8</v>
      </c>
      <c r="G6" s="14" t="s">
        <v>9</v>
      </c>
      <c r="H6" s="14" t="s">
        <v>37</v>
      </c>
      <c r="I6" s="28" t="s">
        <v>10</v>
      </c>
      <c r="J6" s="60"/>
    </row>
    <row r="7" spans="1:10" s="2" customFormat="1" ht="37.5">
      <c r="A7" s="19">
        <v>1</v>
      </c>
      <c r="B7" s="5">
        <v>44565</v>
      </c>
      <c r="C7" s="18" t="s">
        <v>14</v>
      </c>
      <c r="D7" s="20" t="s">
        <v>38</v>
      </c>
      <c r="E7" s="15">
        <v>1</v>
      </c>
      <c r="F7" s="6"/>
      <c r="G7" s="16">
        <v>27000</v>
      </c>
      <c r="H7" s="16"/>
      <c r="I7" s="6">
        <v>3154924</v>
      </c>
      <c r="J7" s="17">
        <f aca="true" t="shared" si="0" ref="J7:J70">+F7+G7+H7+I7</f>
        <v>3181924</v>
      </c>
    </row>
    <row r="8" spans="1:10" s="2" customFormat="1" ht="75">
      <c r="A8" s="19">
        <v>2</v>
      </c>
      <c r="B8" s="5" t="s">
        <v>39</v>
      </c>
      <c r="C8" s="18" t="s">
        <v>40</v>
      </c>
      <c r="D8" s="20" t="s">
        <v>41</v>
      </c>
      <c r="E8" s="15">
        <v>4</v>
      </c>
      <c r="F8" s="6">
        <v>650000</v>
      </c>
      <c r="G8" s="16">
        <v>108000</v>
      </c>
      <c r="H8" s="21">
        <v>238000</v>
      </c>
      <c r="I8" s="6"/>
      <c r="J8" s="17">
        <f t="shared" si="0"/>
        <v>996000</v>
      </c>
    </row>
    <row r="9" spans="1:10" s="2" customFormat="1" ht="37.5">
      <c r="A9" s="19">
        <v>3</v>
      </c>
      <c r="B9" s="5" t="s">
        <v>25</v>
      </c>
      <c r="C9" s="18" t="s">
        <v>11</v>
      </c>
      <c r="D9" s="20" t="s">
        <v>42</v>
      </c>
      <c r="E9" s="15">
        <v>4</v>
      </c>
      <c r="F9" s="6">
        <v>1200000</v>
      </c>
      <c r="G9" s="16">
        <v>108000</v>
      </c>
      <c r="H9" s="21"/>
      <c r="I9" s="6">
        <v>600000</v>
      </c>
      <c r="J9" s="17">
        <f t="shared" si="0"/>
        <v>1908000</v>
      </c>
    </row>
    <row r="10" spans="1:10" s="2" customFormat="1" ht="37.5">
      <c r="A10" s="19">
        <v>4</v>
      </c>
      <c r="B10" s="5" t="s">
        <v>43</v>
      </c>
      <c r="C10" s="18" t="s">
        <v>14</v>
      </c>
      <c r="D10" s="20" t="s">
        <v>44</v>
      </c>
      <c r="E10" s="15">
        <v>2</v>
      </c>
      <c r="F10" s="6">
        <v>700000</v>
      </c>
      <c r="G10" s="16">
        <v>54000</v>
      </c>
      <c r="H10" s="21"/>
      <c r="I10" s="6"/>
      <c r="J10" s="17">
        <f t="shared" si="0"/>
        <v>754000</v>
      </c>
    </row>
    <row r="11" spans="1:10" s="2" customFormat="1" ht="37.5">
      <c r="A11" s="19">
        <v>5</v>
      </c>
      <c r="B11" s="5" t="s">
        <v>45</v>
      </c>
      <c r="C11" s="18" t="s">
        <v>46</v>
      </c>
      <c r="D11" s="20" t="s">
        <v>47</v>
      </c>
      <c r="E11" s="15">
        <v>3</v>
      </c>
      <c r="F11" s="6">
        <v>100000</v>
      </c>
      <c r="G11" s="16">
        <v>81000</v>
      </c>
      <c r="H11" s="22">
        <v>888000</v>
      </c>
      <c r="I11" s="6"/>
      <c r="J11" s="17">
        <f t="shared" si="0"/>
        <v>1069000</v>
      </c>
    </row>
    <row r="12" spans="1:10" s="2" customFormat="1" ht="37.5">
      <c r="A12" s="19">
        <v>6</v>
      </c>
      <c r="B12" s="5" t="s">
        <v>45</v>
      </c>
      <c r="C12" s="18" t="s">
        <v>46</v>
      </c>
      <c r="D12" s="20" t="s">
        <v>47</v>
      </c>
      <c r="E12" s="15">
        <v>3</v>
      </c>
      <c r="F12" s="6">
        <v>100000</v>
      </c>
      <c r="G12" s="16">
        <v>81000</v>
      </c>
      <c r="H12" s="22"/>
      <c r="I12" s="6"/>
      <c r="J12" s="17">
        <f t="shared" si="0"/>
        <v>181000</v>
      </c>
    </row>
    <row r="13" spans="1:10" s="2" customFormat="1" ht="37.5">
      <c r="A13" s="19">
        <v>7</v>
      </c>
      <c r="B13" s="5" t="s">
        <v>45</v>
      </c>
      <c r="C13" s="18" t="s">
        <v>21</v>
      </c>
      <c r="D13" s="20" t="s">
        <v>48</v>
      </c>
      <c r="E13" s="15">
        <v>3</v>
      </c>
      <c r="F13" s="6">
        <v>340000</v>
      </c>
      <c r="G13" s="16">
        <v>81000</v>
      </c>
      <c r="H13" s="6">
        <v>390000</v>
      </c>
      <c r="I13" s="6"/>
      <c r="J13" s="17">
        <f t="shared" si="0"/>
        <v>811000</v>
      </c>
    </row>
    <row r="14" spans="1:10" s="9" customFormat="1" ht="37.5">
      <c r="A14" s="19">
        <v>8</v>
      </c>
      <c r="B14" s="5" t="s">
        <v>49</v>
      </c>
      <c r="C14" s="18" t="s">
        <v>13</v>
      </c>
      <c r="D14" s="20" t="s">
        <v>50</v>
      </c>
      <c r="E14" s="15">
        <v>4</v>
      </c>
      <c r="F14" s="6">
        <v>600000</v>
      </c>
      <c r="G14" s="16">
        <v>81000</v>
      </c>
      <c r="H14" s="16">
        <v>231460</v>
      </c>
      <c r="I14" s="6"/>
      <c r="J14" s="17">
        <f t="shared" si="0"/>
        <v>912460</v>
      </c>
    </row>
    <row r="15" spans="1:10" ht="18.75" customHeight="1">
      <c r="A15" s="19">
        <v>9</v>
      </c>
      <c r="B15" s="5" t="s">
        <v>51</v>
      </c>
      <c r="C15" s="18" t="s">
        <v>22</v>
      </c>
      <c r="D15" s="20" t="s">
        <v>52</v>
      </c>
      <c r="E15" s="15">
        <v>3</v>
      </c>
      <c r="F15" s="6">
        <v>340000</v>
      </c>
      <c r="G15" s="16">
        <v>81000</v>
      </c>
      <c r="H15" s="6">
        <v>390000</v>
      </c>
      <c r="I15" s="6"/>
      <c r="J15" s="17">
        <f t="shared" si="0"/>
        <v>811000</v>
      </c>
    </row>
    <row r="16" spans="1:10" ht="56.25">
      <c r="A16" s="19">
        <v>10</v>
      </c>
      <c r="B16" s="5" t="s">
        <v>53</v>
      </c>
      <c r="C16" s="18" t="s">
        <v>54</v>
      </c>
      <c r="D16" s="20" t="s">
        <v>55</v>
      </c>
      <c r="E16" s="15">
        <v>11</v>
      </c>
      <c r="F16" s="6">
        <v>1700000</v>
      </c>
      <c r="G16" s="16">
        <v>297000</v>
      </c>
      <c r="H16" s="6"/>
      <c r="I16" s="6">
        <v>865223</v>
      </c>
      <c r="J16" s="17">
        <f t="shared" si="0"/>
        <v>2862223</v>
      </c>
    </row>
    <row r="17" spans="1:10" ht="37.5">
      <c r="A17" s="19">
        <v>11</v>
      </c>
      <c r="B17" s="5" t="s">
        <v>56</v>
      </c>
      <c r="C17" s="18" t="s">
        <v>19</v>
      </c>
      <c r="D17" s="20" t="s">
        <v>57</v>
      </c>
      <c r="E17" s="15">
        <v>11</v>
      </c>
      <c r="F17" s="6">
        <v>3500000</v>
      </c>
      <c r="G17" s="16">
        <v>297000</v>
      </c>
      <c r="H17" s="6">
        <v>146600</v>
      </c>
      <c r="I17" s="6"/>
      <c r="J17" s="17">
        <f t="shared" si="0"/>
        <v>3943600</v>
      </c>
    </row>
    <row r="18" spans="1:10" ht="39" customHeight="1">
      <c r="A18" s="19">
        <v>12</v>
      </c>
      <c r="B18" s="5" t="s">
        <v>58</v>
      </c>
      <c r="C18" s="18" t="s">
        <v>13</v>
      </c>
      <c r="D18" s="20" t="s">
        <v>59</v>
      </c>
      <c r="E18" s="15">
        <v>20</v>
      </c>
      <c r="F18" s="6">
        <v>2400000</v>
      </c>
      <c r="G18" s="16">
        <v>540000</v>
      </c>
      <c r="H18" s="16">
        <v>2824900</v>
      </c>
      <c r="I18" s="6"/>
      <c r="J18" s="17">
        <f t="shared" si="0"/>
        <v>5764900</v>
      </c>
    </row>
    <row r="19" spans="1:10" s="2" customFormat="1" ht="37.5">
      <c r="A19" s="19">
        <v>13</v>
      </c>
      <c r="B19" s="5" t="s">
        <v>60</v>
      </c>
      <c r="C19" s="18" t="s">
        <v>18</v>
      </c>
      <c r="D19" s="20" t="s">
        <v>61</v>
      </c>
      <c r="E19" s="15">
        <v>3</v>
      </c>
      <c r="F19" s="6">
        <v>150000</v>
      </c>
      <c r="G19" s="16">
        <v>81000</v>
      </c>
      <c r="H19" s="16">
        <v>294500</v>
      </c>
      <c r="I19" s="6"/>
      <c r="J19" s="17">
        <f t="shared" si="0"/>
        <v>525500</v>
      </c>
    </row>
    <row r="20" spans="1:10" s="2" customFormat="1" ht="37.5">
      <c r="A20" s="19">
        <v>14</v>
      </c>
      <c r="B20" s="5" t="s">
        <v>60</v>
      </c>
      <c r="C20" s="18" t="s">
        <v>18</v>
      </c>
      <c r="D20" s="20" t="s">
        <v>61</v>
      </c>
      <c r="E20" s="15">
        <v>3</v>
      </c>
      <c r="F20" s="6">
        <v>150000</v>
      </c>
      <c r="G20" s="16">
        <v>81000</v>
      </c>
      <c r="H20" s="16">
        <v>294500</v>
      </c>
      <c r="I20" s="6"/>
      <c r="J20" s="17">
        <f t="shared" si="0"/>
        <v>525500</v>
      </c>
    </row>
    <row r="21" spans="1:10" s="2" customFormat="1" ht="37.5">
      <c r="A21" s="19">
        <v>15</v>
      </c>
      <c r="B21" s="5" t="s">
        <v>62</v>
      </c>
      <c r="C21" s="18" t="s">
        <v>23</v>
      </c>
      <c r="D21" s="20" t="s">
        <v>63</v>
      </c>
      <c r="E21" s="15">
        <v>2</v>
      </c>
      <c r="F21" s="6">
        <v>800000</v>
      </c>
      <c r="G21" s="16">
        <v>108000</v>
      </c>
      <c r="H21" s="16">
        <v>210000</v>
      </c>
      <c r="I21" s="6"/>
      <c r="J21" s="17">
        <f t="shared" si="0"/>
        <v>1118000</v>
      </c>
    </row>
    <row r="22" spans="1:10" s="2" customFormat="1" ht="37.5">
      <c r="A22" s="19">
        <v>16</v>
      </c>
      <c r="B22" s="5" t="s">
        <v>64</v>
      </c>
      <c r="C22" s="18" t="s">
        <v>19</v>
      </c>
      <c r="D22" s="18" t="s">
        <v>65</v>
      </c>
      <c r="E22" s="15">
        <v>3</v>
      </c>
      <c r="F22" s="6">
        <v>920000</v>
      </c>
      <c r="G22" s="16">
        <v>81000</v>
      </c>
      <c r="H22" s="16">
        <v>151200</v>
      </c>
      <c r="I22" s="6"/>
      <c r="J22" s="17">
        <f t="shared" si="0"/>
        <v>1152200</v>
      </c>
    </row>
    <row r="23" spans="1:10" s="2" customFormat="1" ht="37.5">
      <c r="A23" s="19">
        <v>17</v>
      </c>
      <c r="B23" s="5" t="s">
        <v>66</v>
      </c>
      <c r="C23" s="18" t="s">
        <v>67</v>
      </c>
      <c r="D23" s="20" t="s">
        <v>68</v>
      </c>
      <c r="E23" s="15">
        <v>2</v>
      </c>
      <c r="F23" s="6">
        <v>100000</v>
      </c>
      <c r="G23" s="16">
        <v>54000</v>
      </c>
      <c r="H23" s="16">
        <v>526000</v>
      </c>
      <c r="I23" s="6"/>
      <c r="J23" s="17">
        <f t="shared" si="0"/>
        <v>680000</v>
      </c>
    </row>
    <row r="24" spans="1:10" ht="37.5">
      <c r="A24" s="19">
        <v>18</v>
      </c>
      <c r="B24" s="5" t="s">
        <v>69</v>
      </c>
      <c r="C24" s="18" t="s">
        <v>70</v>
      </c>
      <c r="D24" s="20" t="s">
        <v>68</v>
      </c>
      <c r="E24" s="15">
        <v>2</v>
      </c>
      <c r="F24" s="6">
        <v>500000</v>
      </c>
      <c r="G24" s="16">
        <v>54000</v>
      </c>
      <c r="H24" s="16">
        <v>389000</v>
      </c>
      <c r="I24" s="6"/>
      <c r="J24" s="17">
        <f t="shared" si="0"/>
        <v>943000</v>
      </c>
    </row>
    <row r="25" spans="1:10" s="7" customFormat="1" ht="37.5">
      <c r="A25" s="19">
        <v>19</v>
      </c>
      <c r="B25" s="5" t="s">
        <v>69</v>
      </c>
      <c r="C25" s="18" t="s">
        <v>70</v>
      </c>
      <c r="D25" s="20" t="s">
        <v>68</v>
      </c>
      <c r="E25" s="15">
        <v>2</v>
      </c>
      <c r="F25" s="6">
        <v>500000</v>
      </c>
      <c r="G25" s="16">
        <v>54000</v>
      </c>
      <c r="H25" s="16"/>
      <c r="I25" s="6"/>
      <c r="J25" s="17">
        <f t="shared" si="0"/>
        <v>554000</v>
      </c>
    </row>
    <row r="26" spans="1:10" ht="37.5">
      <c r="A26" s="19">
        <v>20</v>
      </c>
      <c r="B26" s="5" t="s">
        <v>71</v>
      </c>
      <c r="C26" s="18" t="s">
        <v>27</v>
      </c>
      <c r="D26" s="20" t="s">
        <v>72</v>
      </c>
      <c r="E26" s="15">
        <v>5</v>
      </c>
      <c r="F26" s="6"/>
      <c r="G26" s="16">
        <v>135000</v>
      </c>
      <c r="H26" s="16"/>
      <c r="I26" s="6">
        <v>535002</v>
      </c>
      <c r="J26" s="17">
        <f t="shared" si="0"/>
        <v>670002</v>
      </c>
    </row>
    <row r="27" spans="1:10" ht="37.5">
      <c r="A27" s="19">
        <v>21</v>
      </c>
      <c r="B27" s="5" t="s">
        <v>73</v>
      </c>
      <c r="C27" s="18" t="s">
        <v>70</v>
      </c>
      <c r="D27" s="20" t="s">
        <v>74</v>
      </c>
      <c r="E27" s="15">
        <v>3</v>
      </c>
      <c r="F27" s="6">
        <v>350000</v>
      </c>
      <c r="G27" s="16">
        <v>81000</v>
      </c>
      <c r="H27" s="16"/>
      <c r="I27" s="6"/>
      <c r="J27" s="17">
        <f t="shared" si="0"/>
        <v>431000</v>
      </c>
    </row>
    <row r="28" spans="1:10" ht="56.25">
      <c r="A28" s="19">
        <v>22</v>
      </c>
      <c r="B28" s="5" t="s">
        <v>75</v>
      </c>
      <c r="C28" s="18" t="s">
        <v>76</v>
      </c>
      <c r="D28" s="18" t="s">
        <v>77</v>
      </c>
      <c r="E28" s="15">
        <v>4</v>
      </c>
      <c r="F28" s="6">
        <v>1050000</v>
      </c>
      <c r="G28" s="16">
        <v>162000</v>
      </c>
      <c r="H28" s="16"/>
      <c r="I28" s="6">
        <v>2029380</v>
      </c>
      <c r="J28" s="17">
        <f t="shared" si="0"/>
        <v>3241380</v>
      </c>
    </row>
    <row r="29" spans="1:10" ht="37.5">
      <c r="A29" s="19">
        <v>23</v>
      </c>
      <c r="B29" s="5" t="s">
        <v>78</v>
      </c>
      <c r="C29" s="18" t="s">
        <v>14</v>
      </c>
      <c r="D29" s="20" t="s">
        <v>79</v>
      </c>
      <c r="E29" s="15">
        <v>1</v>
      </c>
      <c r="F29" s="6"/>
      <c r="G29" s="16">
        <v>27000</v>
      </c>
      <c r="H29" s="16"/>
      <c r="I29" s="6">
        <v>446432</v>
      </c>
      <c r="J29" s="17">
        <f t="shared" si="0"/>
        <v>473432</v>
      </c>
    </row>
    <row r="30" spans="1:10" ht="37.5">
      <c r="A30" s="19">
        <v>24</v>
      </c>
      <c r="B30" s="5" t="s">
        <v>80</v>
      </c>
      <c r="C30" s="18" t="s">
        <v>14</v>
      </c>
      <c r="D30" s="20" t="s">
        <v>81</v>
      </c>
      <c r="E30" s="15">
        <v>5</v>
      </c>
      <c r="F30" s="6"/>
      <c r="G30" s="16">
        <v>135000</v>
      </c>
      <c r="H30" s="6"/>
      <c r="I30" s="6">
        <v>430624</v>
      </c>
      <c r="J30" s="17">
        <f t="shared" si="0"/>
        <v>565624</v>
      </c>
    </row>
    <row r="31" spans="1:10" ht="56.25">
      <c r="A31" s="19">
        <v>25</v>
      </c>
      <c r="B31" s="5" t="s">
        <v>82</v>
      </c>
      <c r="C31" s="18" t="s">
        <v>54</v>
      </c>
      <c r="D31" s="20" t="s">
        <v>83</v>
      </c>
      <c r="E31" s="15">
        <v>8</v>
      </c>
      <c r="F31" s="6">
        <v>1000000</v>
      </c>
      <c r="G31" s="16">
        <v>216000</v>
      </c>
      <c r="H31" s="16"/>
      <c r="I31" s="6">
        <v>515000</v>
      </c>
      <c r="J31" s="17">
        <f t="shared" si="0"/>
        <v>1731000</v>
      </c>
    </row>
    <row r="32" spans="1:10" ht="37.5">
      <c r="A32" s="19">
        <v>26</v>
      </c>
      <c r="B32" s="5" t="s">
        <v>69</v>
      </c>
      <c r="C32" s="18" t="s">
        <v>23</v>
      </c>
      <c r="D32" s="20" t="s">
        <v>84</v>
      </c>
      <c r="E32" s="15">
        <v>2</v>
      </c>
      <c r="F32" s="6">
        <v>250000</v>
      </c>
      <c r="G32" s="16">
        <v>54000</v>
      </c>
      <c r="H32" s="16"/>
      <c r="I32" s="6"/>
      <c r="J32" s="17">
        <f t="shared" si="0"/>
        <v>304000</v>
      </c>
    </row>
    <row r="33" spans="1:10" ht="37.5">
      <c r="A33" s="19">
        <v>27</v>
      </c>
      <c r="B33" s="5" t="s">
        <v>85</v>
      </c>
      <c r="C33" s="18" t="s">
        <v>18</v>
      </c>
      <c r="D33" s="20" t="s">
        <v>68</v>
      </c>
      <c r="E33" s="15">
        <v>3</v>
      </c>
      <c r="F33" s="6">
        <v>600000</v>
      </c>
      <c r="G33" s="16">
        <v>81000</v>
      </c>
      <c r="H33" s="16">
        <v>1181000</v>
      </c>
      <c r="I33" s="6"/>
      <c r="J33" s="17">
        <f t="shared" si="0"/>
        <v>1862000</v>
      </c>
    </row>
    <row r="34" spans="1:10" ht="37.5">
      <c r="A34" s="19">
        <v>28</v>
      </c>
      <c r="B34" s="5">
        <v>44614</v>
      </c>
      <c r="C34" s="18" t="s">
        <v>18</v>
      </c>
      <c r="D34" s="20" t="s">
        <v>86</v>
      </c>
      <c r="E34" s="15">
        <v>1</v>
      </c>
      <c r="F34" s="6"/>
      <c r="G34" s="16">
        <v>27000</v>
      </c>
      <c r="H34" s="16">
        <v>284000</v>
      </c>
      <c r="I34" s="6"/>
      <c r="J34" s="17">
        <f t="shared" si="0"/>
        <v>311000</v>
      </c>
    </row>
    <row r="35" spans="1:10" ht="37.5">
      <c r="A35" s="19">
        <v>29</v>
      </c>
      <c r="B35" s="5">
        <v>44614</v>
      </c>
      <c r="C35" s="18" t="s">
        <v>18</v>
      </c>
      <c r="D35" s="20" t="s">
        <v>86</v>
      </c>
      <c r="E35" s="15">
        <v>1</v>
      </c>
      <c r="F35" s="6"/>
      <c r="G35" s="16">
        <v>27000</v>
      </c>
      <c r="H35" s="16">
        <v>284000</v>
      </c>
      <c r="I35" s="6"/>
      <c r="J35" s="17">
        <f t="shared" si="0"/>
        <v>311000</v>
      </c>
    </row>
    <row r="36" spans="1:10" ht="37.5">
      <c r="A36" s="19">
        <v>30</v>
      </c>
      <c r="B36" s="5" t="s">
        <v>87</v>
      </c>
      <c r="C36" s="18" t="s">
        <v>14</v>
      </c>
      <c r="D36" s="20" t="s">
        <v>88</v>
      </c>
      <c r="E36" s="15">
        <v>7</v>
      </c>
      <c r="F36" s="6">
        <v>1050000</v>
      </c>
      <c r="G36" s="16">
        <v>189000</v>
      </c>
      <c r="H36" s="16"/>
      <c r="I36" s="6">
        <v>432845</v>
      </c>
      <c r="J36" s="17">
        <f t="shared" si="0"/>
        <v>1671845</v>
      </c>
    </row>
    <row r="37" spans="1:10" ht="37.5">
      <c r="A37" s="19">
        <v>31</v>
      </c>
      <c r="B37" s="5" t="s">
        <v>80</v>
      </c>
      <c r="C37" s="18" t="s">
        <v>14</v>
      </c>
      <c r="D37" s="20" t="s">
        <v>81</v>
      </c>
      <c r="E37" s="15">
        <v>5</v>
      </c>
      <c r="F37" s="6"/>
      <c r="G37" s="16">
        <v>135000</v>
      </c>
      <c r="H37" s="16"/>
      <c r="I37" s="6"/>
      <c r="J37" s="17">
        <f t="shared" si="0"/>
        <v>135000</v>
      </c>
    </row>
    <row r="38" spans="1:10" ht="37.5">
      <c r="A38" s="19">
        <v>32</v>
      </c>
      <c r="B38" s="5" t="s">
        <v>89</v>
      </c>
      <c r="C38" s="18" t="s">
        <v>20</v>
      </c>
      <c r="D38" s="20" t="s">
        <v>90</v>
      </c>
      <c r="E38" s="15">
        <v>2</v>
      </c>
      <c r="F38" s="6">
        <v>325000</v>
      </c>
      <c r="G38" s="16">
        <v>54000</v>
      </c>
      <c r="H38" s="16"/>
      <c r="I38" s="6"/>
      <c r="J38" s="17">
        <f t="shared" si="0"/>
        <v>379000</v>
      </c>
    </row>
    <row r="39" spans="1:10" ht="37.5">
      <c r="A39" s="19">
        <v>33</v>
      </c>
      <c r="B39" s="5" t="s">
        <v>91</v>
      </c>
      <c r="C39" s="18" t="s">
        <v>19</v>
      </c>
      <c r="D39" s="20" t="s">
        <v>92</v>
      </c>
      <c r="E39" s="15">
        <v>10</v>
      </c>
      <c r="F39" s="6">
        <v>3600000</v>
      </c>
      <c r="G39" s="16">
        <v>270000</v>
      </c>
      <c r="H39" s="6">
        <v>915545</v>
      </c>
      <c r="I39" s="6"/>
      <c r="J39" s="17">
        <f t="shared" si="0"/>
        <v>4785545</v>
      </c>
    </row>
    <row r="40" spans="1:10" ht="37.5">
      <c r="A40" s="19">
        <v>34</v>
      </c>
      <c r="B40" s="5" t="s">
        <v>87</v>
      </c>
      <c r="C40" s="18" t="s">
        <v>14</v>
      </c>
      <c r="D40" s="20" t="s">
        <v>88</v>
      </c>
      <c r="E40" s="15">
        <v>7</v>
      </c>
      <c r="F40" s="6">
        <v>1050000</v>
      </c>
      <c r="G40" s="16">
        <v>189000</v>
      </c>
      <c r="H40" s="6"/>
      <c r="I40" s="6">
        <v>942963</v>
      </c>
      <c r="J40" s="17">
        <f t="shared" si="0"/>
        <v>2181963</v>
      </c>
    </row>
    <row r="41" spans="1:10" ht="37.5">
      <c r="A41" s="19">
        <v>35</v>
      </c>
      <c r="B41" s="5" t="s">
        <v>93</v>
      </c>
      <c r="C41" s="18" t="s">
        <v>13</v>
      </c>
      <c r="D41" s="20" t="s">
        <v>63</v>
      </c>
      <c r="E41" s="15">
        <v>4</v>
      </c>
      <c r="F41" s="6">
        <v>800000</v>
      </c>
      <c r="G41" s="16">
        <v>108000</v>
      </c>
      <c r="H41" s="16">
        <v>210000</v>
      </c>
      <c r="I41" s="6"/>
      <c r="J41" s="17">
        <f t="shared" si="0"/>
        <v>1118000</v>
      </c>
    </row>
    <row r="42" spans="1:10" ht="37.5">
      <c r="A42" s="19">
        <v>36</v>
      </c>
      <c r="B42" s="5" t="s">
        <v>94</v>
      </c>
      <c r="C42" s="18" t="s">
        <v>16</v>
      </c>
      <c r="D42" s="20" t="s">
        <v>95</v>
      </c>
      <c r="E42" s="15">
        <v>1</v>
      </c>
      <c r="F42" s="6">
        <v>150000</v>
      </c>
      <c r="G42" s="16">
        <v>27000</v>
      </c>
      <c r="H42" s="16">
        <v>248990</v>
      </c>
      <c r="I42" s="6"/>
      <c r="J42" s="17">
        <f t="shared" si="0"/>
        <v>425990</v>
      </c>
    </row>
    <row r="43" spans="1:10" ht="75">
      <c r="A43" s="19">
        <v>37</v>
      </c>
      <c r="B43" s="5" t="s">
        <v>96</v>
      </c>
      <c r="C43" s="18" t="s">
        <v>97</v>
      </c>
      <c r="D43" s="20" t="s">
        <v>98</v>
      </c>
      <c r="E43" s="15">
        <v>10</v>
      </c>
      <c r="F43" s="6">
        <v>1055000</v>
      </c>
      <c r="G43" s="16">
        <v>270000</v>
      </c>
      <c r="H43" s="16"/>
      <c r="I43" s="6"/>
      <c r="J43" s="17">
        <f t="shared" si="0"/>
        <v>1325000</v>
      </c>
    </row>
    <row r="44" spans="1:10" ht="75">
      <c r="A44" s="19">
        <v>38</v>
      </c>
      <c r="B44" s="5" t="s">
        <v>96</v>
      </c>
      <c r="C44" s="18" t="s">
        <v>97</v>
      </c>
      <c r="D44" s="20" t="s">
        <v>98</v>
      </c>
      <c r="E44" s="15">
        <v>10</v>
      </c>
      <c r="F44" s="6">
        <v>1155000</v>
      </c>
      <c r="G44" s="16">
        <v>270000</v>
      </c>
      <c r="H44" s="16"/>
      <c r="I44" s="6"/>
      <c r="J44" s="17">
        <f t="shared" si="0"/>
        <v>1425000</v>
      </c>
    </row>
    <row r="45" spans="1:10" ht="37.5">
      <c r="A45" s="19">
        <v>39</v>
      </c>
      <c r="B45" s="5" t="s">
        <v>99</v>
      </c>
      <c r="C45" s="18" t="s">
        <v>14</v>
      </c>
      <c r="D45" s="20" t="s">
        <v>81</v>
      </c>
      <c r="E45" s="15">
        <v>6</v>
      </c>
      <c r="F45" s="6"/>
      <c r="G45" s="16">
        <v>162000</v>
      </c>
      <c r="H45" s="16"/>
      <c r="I45" s="6">
        <v>861715</v>
      </c>
      <c r="J45" s="17">
        <f t="shared" si="0"/>
        <v>1023715</v>
      </c>
    </row>
    <row r="46" spans="1:10" ht="37.5">
      <c r="A46" s="19">
        <v>40</v>
      </c>
      <c r="B46" s="5" t="s">
        <v>100</v>
      </c>
      <c r="C46" s="18" t="s">
        <v>13</v>
      </c>
      <c r="D46" s="20" t="s">
        <v>101</v>
      </c>
      <c r="E46" s="15">
        <v>2</v>
      </c>
      <c r="F46" s="6">
        <v>500000</v>
      </c>
      <c r="G46" s="16">
        <v>54000</v>
      </c>
      <c r="H46" s="16"/>
      <c r="I46" s="6"/>
      <c r="J46" s="17">
        <f t="shared" si="0"/>
        <v>554000</v>
      </c>
    </row>
    <row r="47" spans="1:10" ht="37.5">
      <c r="A47" s="19">
        <v>41</v>
      </c>
      <c r="B47" s="5">
        <v>44611</v>
      </c>
      <c r="C47" s="18" t="s">
        <v>13</v>
      </c>
      <c r="D47" s="20" t="s">
        <v>102</v>
      </c>
      <c r="E47" s="15">
        <v>1</v>
      </c>
      <c r="F47" s="6"/>
      <c r="G47" s="16">
        <v>27000</v>
      </c>
      <c r="H47" s="16">
        <v>315000</v>
      </c>
      <c r="I47" s="6"/>
      <c r="J47" s="17">
        <f t="shared" si="0"/>
        <v>342000</v>
      </c>
    </row>
    <row r="48" spans="1:10" ht="37.5">
      <c r="A48" s="19">
        <v>42</v>
      </c>
      <c r="B48" s="5" t="s">
        <v>103</v>
      </c>
      <c r="C48" s="18" t="s">
        <v>13</v>
      </c>
      <c r="D48" s="20" t="s">
        <v>104</v>
      </c>
      <c r="E48" s="15">
        <v>2</v>
      </c>
      <c r="F48" s="6"/>
      <c r="G48" s="16">
        <v>54000</v>
      </c>
      <c r="H48" s="16">
        <v>299000</v>
      </c>
      <c r="I48" s="6"/>
      <c r="J48" s="17">
        <f t="shared" si="0"/>
        <v>353000</v>
      </c>
    </row>
    <row r="49" spans="1:10" ht="37.5">
      <c r="A49" s="19">
        <v>43</v>
      </c>
      <c r="B49" s="5">
        <v>44625</v>
      </c>
      <c r="C49" s="18" t="s">
        <v>27</v>
      </c>
      <c r="D49" s="20" t="s">
        <v>105</v>
      </c>
      <c r="E49" s="15">
        <v>2</v>
      </c>
      <c r="F49" s="6"/>
      <c r="G49" s="16">
        <v>27000</v>
      </c>
      <c r="H49" s="16"/>
      <c r="I49" s="6">
        <v>396589</v>
      </c>
      <c r="J49" s="17">
        <f t="shared" si="0"/>
        <v>423589</v>
      </c>
    </row>
    <row r="50" spans="1:10" ht="37.5">
      <c r="A50" s="19">
        <v>44</v>
      </c>
      <c r="B50" s="5" t="s">
        <v>80</v>
      </c>
      <c r="C50" s="18" t="s">
        <v>14</v>
      </c>
      <c r="D50" s="20" t="s">
        <v>106</v>
      </c>
      <c r="E50" s="15">
        <v>5</v>
      </c>
      <c r="F50" s="6"/>
      <c r="G50" s="16">
        <v>135000</v>
      </c>
      <c r="H50" s="16"/>
      <c r="I50" s="6">
        <v>861715</v>
      </c>
      <c r="J50" s="17">
        <f t="shared" si="0"/>
        <v>996715</v>
      </c>
    </row>
    <row r="51" spans="1:10" ht="37.5">
      <c r="A51" s="19">
        <v>45</v>
      </c>
      <c r="B51" s="5" t="s">
        <v>107</v>
      </c>
      <c r="C51" s="18" t="s">
        <v>14</v>
      </c>
      <c r="D51" s="20" t="s">
        <v>86</v>
      </c>
      <c r="E51" s="15">
        <v>8</v>
      </c>
      <c r="F51" s="6">
        <v>1200000</v>
      </c>
      <c r="G51" s="16">
        <v>216000</v>
      </c>
      <c r="H51" s="16"/>
      <c r="I51" s="6">
        <v>381205</v>
      </c>
      <c r="J51" s="17">
        <f t="shared" si="0"/>
        <v>1797205</v>
      </c>
    </row>
    <row r="52" spans="1:10" ht="37.5">
      <c r="A52" s="19">
        <v>46</v>
      </c>
      <c r="B52" s="5" t="s">
        <v>108</v>
      </c>
      <c r="C52" s="18" t="s">
        <v>22</v>
      </c>
      <c r="D52" s="20" t="s">
        <v>109</v>
      </c>
      <c r="E52" s="15">
        <v>17</v>
      </c>
      <c r="F52" s="6">
        <v>4000000</v>
      </c>
      <c r="G52" s="16">
        <v>459000</v>
      </c>
      <c r="H52" s="16">
        <v>341000</v>
      </c>
      <c r="I52" s="6"/>
      <c r="J52" s="17">
        <f t="shared" si="0"/>
        <v>4800000</v>
      </c>
    </row>
    <row r="53" spans="1:10" ht="37.5">
      <c r="A53" s="19">
        <v>47</v>
      </c>
      <c r="B53" s="5" t="s">
        <v>110</v>
      </c>
      <c r="C53" s="18" t="s">
        <v>14</v>
      </c>
      <c r="D53" s="20" t="s">
        <v>111</v>
      </c>
      <c r="E53" s="15">
        <v>5</v>
      </c>
      <c r="F53" s="6"/>
      <c r="G53" s="16">
        <v>108000</v>
      </c>
      <c r="H53" s="16"/>
      <c r="I53" s="6">
        <v>1250000</v>
      </c>
      <c r="J53" s="17">
        <f t="shared" si="0"/>
        <v>1358000</v>
      </c>
    </row>
    <row r="54" spans="1:10" ht="37.5">
      <c r="A54" s="19">
        <v>48</v>
      </c>
      <c r="B54" s="5" t="s">
        <v>112</v>
      </c>
      <c r="C54" s="18" t="s">
        <v>14</v>
      </c>
      <c r="D54" s="20" t="s">
        <v>113</v>
      </c>
      <c r="E54" s="15">
        <v>17</v>
      </c>
      <c r="F54" s="6">
        <v>3570000</v>
      </c>
      <c r="G54" s="16">
        <v>459000</v>
      </c>
      <c r="H54" s="16"/>
      <c r="I54" s="6"/>
      <c r="J54" s="17">
        <f t="shared" si="0"/>
        <v>4029000</v>
      </c>
    </row>
    <row r="55" spans="1:10" ht="37.5">
      <c r="A55" s="19">
        <v>49</v>
      </c>
      <c r="B55" s="5" t="s">
        <v>80</v>
      </c>
      <c r="C55" s="18" t="s">
        <v>14</v>
      </c>
      <c r="D55" s="20" t="s">
        <v>114</v>
      </c>
      <c r="E55" s="15">
        <v>5</v>
      </c>
      <c r="F55" s="6">
        <v>630000</v>
      </c>
      <c r="G55" s="16">
        <v>135000</v>
      </c>
      <c r="H55" s="16"/>
      <c r="I55" s="6"/>
      <c r="J55" s="17">
        <f t="shared" si="0"/>
        <v>765000</v>
      </c>
    </row>
    <row r="56" spans="1:10" ht="37.5">
      <c r="A56" s="19">
        <v>50</v>
      </c>
      <c r="B56" s="5" t="s">
        <v>115</v>
      </c>
      <c r="C56" s="18" t="s">
        <v>14</v>
      </c>
      <c r="D56" s="20" t="s">
        <v>114</v>
      </c>
      <c r="E56" s="15">
        <v>4</v>
      </c>
      <c r="F56" s="6"/>
      <c r="G56" s="16">
        <v>108000</v>
      </c>
      <c r="H56" s="16"/>
      <c r="I56" s="6">
        <v>455231</v>
      </c>
      <c r="J56" s="17">
        <f t="shared" si="0"/>
        <v>563231</v>
      </c>
    </row>
    <row r="57" spans="1:10" ht="37.5">
      <c r="A57" s="19">
        <v>51</v>
      </c>
      <c r="B57" s="5" t="s">
        <v>116</v>
      </c>
      <c r="C57" s="18" t="s">
        <v>28</v>
      </c>
      <c r="D57" s="20" t="s">
        <v>117</v>
      </c>
      <c r="E57" s="15">
        <v>5</v>
      </c>
      <c r="F57" s="6">
        <v>750000</v>
      </c>
      <c r="G57" s="16">
        <v>135000</v>
      </c>
      <c r="H57" s="16">
        <v>324640</v>
      </c>
      <c r="I57" s="6"/>
      <c r="J57" s="17">
        <f t="shared" si="0"/>
        <v>1209640</v>
      </c>
    </row>
    <row r="58" spans="1:10" ht="37.5">
      <c r="A58" s="19">
        <v>52</v>
      </c>
      <c r="B58" s="5" t="s">
        <v>118</v>
      </c>
      <c r="C58" s="18" t="s">
        <v>14</v>
      </c>
      <c r="D58" s="20" t="s">
        <v>119</v>
      </c>
      <c r="E58" s="15">
        <v>7</v>
      </c>
      <c r="F58" s="6">
        <v>340000</v>
      </c>
      <c r="G58" s="16">
        <v>189000</v>
      </c>
      <c r="H58" s="16"/>
      <c r="I58" s="6">
        <v>1039448</v>
      </c>
      <c r="J58" s="17">
        <f t="shared" si="0"/>
        <v>1568448</v>
      </c>
    </row>
    <row r="59" spans="1:10" ht="37.5">
      <c r="A59" s="19">
        <v>53</v>
      </c>
      <c r="B59" s="5" t="s">
        <v>120</v>
      </c>
      <c r="C59" s="18" t="s">
        <v>14</v>
      </c>
      <c r="D59" s="20" t="s">
        <v>121</v>
      </c>
      <c r="E59" s="15">
        <v>4</v>
      </c>
      <c r="F59" s="6">
        <v>630000</v>
      </c>
      <c r="G59" s="16">
        <v>108000</v>
      </c>
      <c r="H59" s="16"/>
      <c r="I59" s="6"/>
      <c r="J59" s="17">
        <f t="shared" si="0"/>
        <v>738000</v>
      </c>
    </row>
    <row r="60" spans="1:10" ht="37.5">
      <c r="A60" s="19">
        <v>54</v>
      </c>
      <c r="B60" s="5" t="s">
        <v>122</v>
      </c>
      <c r="C60" s="18" t="s">
        <v>14</v>
      </c>
      <c r="D60" s="20" t="s">
        <v>123</v>
      </c>
      <c r="E60" s="15">
        <v>12</v>
      </c>
      <c r="F60" s="6">
        <v>1340000</v>
      </c>
      <c r="G60" s="16">
        <v>324000</v>
      </c>
      <c r="H60" s="16"/>
      <c r="I60" s="6"/>
      <c r="J60" s="17">
        <f t="shared" si="0"/>
        <v>1664000</v>
      </c>
    </row>
    <row r="61" spans="1:10" ht="37.5">
      <c r="A61" s="19">
        <v>55</v>
      </c>
      <c r="B61" s="5" t="s">
        <v>87</v>
      </c>
      <c r="C61" s="18" t="s">
        <v>124</v>
      </c>
      <c r="D61" s="20" t="s">
        <v>125</v>
      </c>
      <c r="E61" s="15">
        <v>7</v>
      </c>
      <c r="F61" s="6">
        <v>1150000</v>
      </c>
      <c r="G61" s="16">
        <v>189000</v>
      </c>
      <c r="H61" s="16">
        <v>365130</v>
      </c>
      <c r="I61" s="6"/>
      <c r="J61" s="17">
        <f t="shared" si="0"/>
        <v>1704130</v>
      </c>
    </row>
    <row r="62" spans="1:10" ht="112.5">
      <c r="A62" s="19">
        <v>56</v>
      </c>
      <c r="B62" s="5" t="s">
        <v>126</v>
      </c>
      <c r="C62" s="18" t="s">
        <v>127</v>
      </c>
      <c r="D62" s="20" t="s">
        <v>128</v>
      </c>
      <c r="E62" s="15">
        <v>8</v>
      </c>
      <c r="F62" s="6">
        <v>1850000</v>
      </c>
      <c r="G62" s="16">
        <v>216000</v>
      </c>
      <c r="H62" s="16">
        <v>119050</v>
      </c>
      <c r="I62" s="6"/>
      <c r="J62" s="17">
        <f t="shared" si="0"/>
        <v>2185050</v>
      </c>
    </row>
    <row r="63" spans="1:10" ht="37.5">
      <c r="A63" s="19">
        <v>57</v>
      </c>
      <c r="B63" s="5" t="s">
        <v>129</v>
      </c>
      <c r="C63" s="18" t="s">
        <v>14</v>
      </c>
      <c r="D63" s="20" t="s">
        <v>130</v>
      </c>
      <c r="E63" s="15">
        <v>6</v>
      </c>
      <c r="F63" s="6">
        <v>1500000</v>
      </c>
      <c r="G63" s="16">
        <v>162000</v>
      </c>
      <c r="H63" s="16"/>
      <c r="I63" s="6"/>
      <c r="J63" s="17">
        <f t="shared" si="0"/>
        <v>1662000</v>
      </c>
    </row>
    <row r="64" spans="1:10" ht="37.5">
      <c r="A64" s="19">
        <v>58</v>
      </c>
      <c r="B64" s="5" t="s">
        <v>131</v>
      </c>
      <c r="C64" s="18" t="s">
        <v>16</v>
      </c>
      <c r="D64" s="20" t="s">
        <v>132</v>
      </c>
      <c r="E64" s="15">
        <v>2</v>
      </c>
      <c r="F64" s="6">
        <v>250000</v>
      </c>
      <c r="G64" s="16">
        <v>54000</v>
      </c>
      <c r="H64" s="16"/>
      <c r="I64" s="6"/>
      <c r="J64" s="17">
        <f t="shared" si="0"/>
        <v>304000</v>
      </c>
    </row>
    <row r="65" spans="1:10" ht="37.5">
      <c r="A65" s="19">
        <v>59</v>
      </c>
      <c r="B65" s="5" t="s">
        <v>133</v>
      </c>
      <c r="C65" s="18" t="s">
        <v>23</v>
      </c>
      <c r="D65" s="20" t="s">
        <v>134</v>
      </c>
      <c r="E65" s="15">
        <v>5</v>
      </c>
      <c r="F65" s="6"/>
      <c r="G65" s="16">
        <v>135000</v>
      </c>
      <c r="H65" s="16">
        <v>408000</v>
      </c>
      <c r="I65" s="6"/>
      <c r="J65" s="17">
        <f t="shared" si="0"/>
        <v>543000</v>
      </c>
    </row>
    <row r="66" spans="1:10" ht="37.5">
      <c r="A66" s="19">
        <v>60</v>
      </c>
      <c r="B66" s="5" t="s">
        <v>133</v>
      </c>
      <c r="C66" s="18" t="s">
        <v>23</v>
      </c>
      <c r="D66" s="20" t="s">
        <v>134</v>
      </c>
      <c r="E66" s="15">
        <v>5</v>
      </c>
      <c r="F66" s="6"/>
      <c r="G66" s="16">
        <v>135000</v>
      </c>
      <c r="H66" s="16">
        <v>1239000</v>
      </c>
      <c r="I66" s="6"/>
      <c r="J66" s="17">
        <f t="shared" si="0"/>
        <v>1374000</v>
      </c>
    </row>
    <row r="67" spans="1:10" ht="37.5">
      <c r="A67" s="19">
        <v>61</v>
      </c>
      <c r="B67" s="5" t="s">
        <v>131</v>
      </c>
      <c r="C67" s="18" t="s">
        <v>16</v>
      </c>
      <c r="D67" s="18" t="s">
        <v>132</v>
      </c>
      <c r="E67" s="23">
        <v>2</v>
      </c>
      <c r="F67" s="24">
        <v>330000</v>
      </c>
      <c r="G67" s="16">
        <v>54000</v>
      </c>
      <c r="H67" s="16"/>
      <c r="I67" s="6"/>
      <c r="J67" s="17">
        <f t="shared" si="0"/>
        <v>384000</v>
      </c>
    </row>
    <row r="68" spans="1:10" ht="37.5">
      <c r="A68" s="19">
        <v>62</v>
      </c>
      <c r="B68" s="5" t="s">
        <v>135</v>
      </c>
      <c r="C68" s="18" t="s">
        <v>30</v>
      </c>
      <c r="D68" s="20" t="s">
        <v>136</v>
      </c>
      <c r="E68" s="15">
        <v>10</v>
      </c>
      <c r="F68" s="6"/>
      <c r="G68" s="16">
        <v>270000</v>
      </c>
      <c r="H68" s="16">
        <v>1768660</v>
      </c>
      <c r="I68" s="6"/>
      <c r="J68" s="17">
        <f t="shared" si="0"/>
        <v>2038660</v>
      </c>
    </row>
    <row r="69" spans="1:10" ht="37.5">
      <c r="A69" s="19">
        <v>63</v>
      </c>
      <c r="B69" s="5" t="s">
        <v>137</v>
      </c>
      <c r="C69" s="18" t="s">
        <v>22</v>
      </c>
      <c r="D69" s="20" t="s">
        <v>138</v>
      </c>
      <c r="E69" s="15">
        <v>3</v>
      </c>
      <c r="F69" s="6">
        <v>300000</v>
      </c>
      <c r="G69" s="16">
        <v>81000</v>
      </c>
      <c r="H69" s="16">
        <v>400000</v>
      </c>
      <c r="I69" s="6"/>
      <c r="J69" s="17">
        <f t="shared" si="0"/>
        <v>781000</v>
      </c>
    </row>
    <row r="70" spans="1:10" ht="37.5">
      <c r="A70" s="19">
        <v>64</v>
      </c>
      <c r="B70" s="5" t="s">
        <v>129</v>
      </c>
      <c r="C70" s="18" t="s">
        <v>23</v>
      </c>
      <c r="D70" s="20" t="s">
        <v>139</v>
      </c>
      <c r="E70" s="15">
        <v>6</v>
      </c>
      <c r="F70" s="6">
        <v>560000</v>
      </c>
      <c r="G70" s="16">
        <v>162000</v>
      </c>
      <c r="H70" s="16">
        <v>284000</v>
      </c>
      <c r="I70" s="6"/>
      <c r="J70" s="17">
        <f t="shared" si="0"/>
        <v>1006000</v>
      </c>
    </row>
    <row r="71" spans="1:10" ht="37.5">
      <c r="A71" s="19">
        <v>65</v>
      </c>
      <c r="B71" s="5" t="s">
        <v>140</v>
      </c>
      <c r="C71" s="18" t="s">
        <v>141</v>
      </c>
      <c r="D71" s="20" t="s">
        <v>130</v>
      </c>
      <c r="E71" s="15">
        <v>5</v>
      </c>
      <c r="F71" s="6"/>
      <c r="G71" s="16">
        <v>135000</v>
      </c>
      <c r="H71" s="16">
        <v>307140</v>
      </c>
      <c r="I71" s="6"/>
      <c r="J71" s="17">
        <f aca="true" t="shared" si="1" ref="J71:J132">+F71+G71+H71+I71</f>
        <v>442140</v>
      </c>
    </row>
    <row r="72" spans="1:10" ht="37.5">
      <c r="A72" s="19">
        <v>66</v>
      </c>
      <c r="B72" s="5">
        <v>44636</v>
      </c>
      <c r="C72" s="18" t="s">
        <v>13</v>
      </c>
      <c r="D72" s="20" t="s">
        <v>142</v>
      </c>
      <c r="E72" s="15">
        <v>1</v>
      </c>
      <c r="F72" s="6"/>
      <c r="G72" s="16">
        <v>27000</v>
      </c>
      <c r="H72" s="16">
        <v>309000</v>
      </c>
      <c r="I72" s="6"/>
      <c r="J72" s="17">
        <f t="shared" si="1"/>
        <v>336000</v>
      </c>
    </row>
    <row r="73" spans="1:10" ht="37.5">
      <c r="A73" s="19">
        <v>67</v>
      </c>
      <c r="B73" s="5">
        <v>44602</v>
      </c>
      <c r="C73" s="18" t="s">
        <v>13</v>
      </c>
      <c r="D73" s="20" t="s">
        <v>143</v>
      </c>
      <c r="E73" s="15">
        <v>1</v>
      </c>
      <c r="F73" s="6">
        <v>250000</v>
      </c>
      <c r="G73" s="16">
        <v>27000</v>
      </c>
      <c r="H73" s="16"/>
      <c r="I73" s="6"/>
      <c r="J73" s="17">
        <f t="shared" si="1"/>
        <v>277000</v>
      </c>
    </row>
    <row r="74" spans="1:10" ht="37.5">
      <c r="A74" s="19">
        <v>68</v>
      </c>
      <c r="B74" s="5" t="s">
        <v>144</v>
      </c>
      <c r="C74" s="18" t="s">
        <v>22</v>
      </c>
      <c r="D74" s="20" t="s">
        <v>145</v>
      </c>
      <c r="E74" s="15">
        <v>3</v>
      </c>
      <c r="F74" s="6">
        <v>530000</v>
      </c>
      <c r="G74" s="16">
        <v>81000</v>
      </c>
      <c r="H74" s="16">
        <v>200000</v>
      </c>
      <c r="I74" s="6"/>
      <c r="J74" s="17">
        <f t="shared" si="1"/>
        <v>811000</v>
      </c>
    </row>
    <row r="75" spans="1:10" ht="37.5">
      <c r="A75" s="19">
        <v>69</v>
      </c>
      <c r="B75" s="5" t="s">
        <v>146</v>
      </c>
      <c r="C75" s="18" t="s">
        <v>27</v>
      </c>
      <c r="D75" s="20" t="s">
        <v>147</v>
      </c>
      <c r="E75" s="15">
        <v>5</v>
      </c>
      <c r="F75" s="6"/>
      <c r="G75" s="16">
        <v>135000</v>
      </c>
      <c r="H75" s="16"/>
      <c r="I75" s="6"/>
      <c r="J75" s="17">
        <f t="shared" si="1"/>
        <v>135000</v>
      </c>
    </row>
    <row r="76" spans="1:10" ht="37.5">
      <c r="A76" s="19">
        <v>70</v>
      </c>
      <c r="B76" s="5">
        <v>44265</v>
      </c>
      <c r="C76" s="18" t="s">
        <v>29</v>
      </c>
      <c r="D76" s="20" t="s">
        <v>148</v>
      </c>
      <c r="E76" s="15">
        <v>1</v>
      </c>
      <c r="F76" s="6">
        <v>210000</v>
      </c>
      <c r="G76" s="16">
        <v>27000</v>
      </c>
      <c r="H76" s="16">
        <v>231300</v>
      </c>
      <c r="I76" s="6"/>
      <c r="J76" s="17">
        <f t="shared" si="1"/>
        <v>468300</v>
      </c>
    </row>
    <row r="77" spans="1:10" ht="37.5">
      <c r="A77" s="19">
        <v>71</v>
      </c>
      <c r="B77" s="25" t="s">
        <v>149</v>
      </c>
      <c r="C77" s="25" t="s">
        <v>14</v>
      </c>
      <c r="D77" s="18" t="s">
        <v>150</v>
      </c>
      <c r="E77" s="15">
        <v>5</v>
      </c>
      <c r="F77" s="6">
        <v>1050000</v>
      </c>
      <c r="G77" s="6">
        <v>135000</v>
      </c>
      <c r="H77" s="6"/>
      <c r="I77" s="6"/>
      <c r="J77" s="17">
        <f t="shared" si="1"/>
        <v>1185000</v>
      </c>
    </row>
    <row r="78" spans="1:10" ht="75">
      <c r="A78" s="19">
        <v>72</v>
      </c>
      <c r="B78" s="25" t="s">
        <v>151</v>
      </c>
      <c r="C78" s="25" t="s">
        <v>36</v>
      </c>
      <c r="D78" s="18" t="s">
        <v>145</v>
      </c>
      <c r="E78" s="15">
        <v>4</v>
      </c>
      <c r="F78" s="6">
        <v>450000</v>
      </c>
      <c r="G78" s="6">
        <v>108000</v>
      </c>
      <c r="H78" s="6"/>
      <c r="I78" s="6"/>
      <c r="J78" s="17">
        <f t="shared" si="1"/>
        <v>558000</v>
      </c>
    </row>
    <row r="79" spans="1:10" ht="37.5">
      <c r="A79" s="19">
        <v>73</v>
      </c>
      <c r="B79" s="29">
        <v>44588</v>
      </c>
      <c r="C79" s="25" t="s">
        <v>18</v>
      </c>
      <c r="D79" s="18" t="s">
        <v>152</v>
      </c>
      <c r="E79" s="15">
        <v>1</v>
      </c>
      <c r="F79" s="6">
        <v>428000</v>
      </c>
      <c r="G79" s="6">
        <v>27000</v>
      </c>
      <c r="H79" s="6"/>
      <c r="I79" s="6"/>
      <c r="J79" s="17">
        <f t="shared" si="1"/>
        <v>455000</v>
      </c>
    </row>
    <row r="80" spans="1:10" ht="37.5">
      <c r="A80" s="19">
        <v>74</v>
      </c>
      <c r="B80" s="25" t="s">
        <v>103</v>
      </c>
      <c r="C80" s="25" t="s">
        <v>13</v>
      </c>
      <c r="D80" s="18" t="s">
        <v>153</v>
      </c>
      <c r="E80" s="15">
        <v>2</v>
      </c>
      <c r="F80" s="6">
        <v>370000</v>
      </c>
      <c r="G80" s="6">
        <v>54000</v>
      </c>
      <c r="H80" s="6">
        <v>237000</v>
      </c>
      <c r="I80" s="6"/>
      <c r="J80" s="17">
        <f t="shared" si="1"/>
        <v>661000</v>
      </c>
    </row>
    <row r="81" spans="1:10" ht="37.5">
      <c r="A81" s="19">
        <v>75</v>
      </c>
      <c r="B81" s="25" t="s">
        <v>154</v>
      </c>
      <c r="C81" s="25" t="s">
        <v>14</v>
      </c>
      <c r="D81" s="18" t="s">
        <v>155</v>
      </c>
      <c r="E81" s="15">
        <v>5</v>
      </c>
      <c r="F81" s="6">
        <v>600000</v>
      </c>
      <c r="G81" s="6">
        <v>135000</v>
      </c>
      <c r="H81" s="6">
        <v>493700</v>
      </c>
      <c r="I81" s="6"/>
      <c r="J81" s="17">
        <f t="shared" si="1"/>
        <v>1228700</v>
      </c>
    </row>
    <row r="82" spans="1:10" ht="56.25">
      <c r="A82" s="19">
        <v>76</v>
      </c>
      <c r="B82" s="5" t="s">
        <v>156</v>
      </c>
      <c r="C82" s="18" t="s">
        <v>157</v>
      </c>
      <c r="D82" s="20" t="s">
        <v>158</v>
      </c>
      <c r="E82" s="15">
        <v>8</v>
      </c>
      <c r="F82" s="6"/>
      <c r="G82" s="16">
        <v>216000</v>
      </c>
      <c r="H82" s="16"/>
      <c r="I82" s="6"/>
      <c r="J82" s="17">
        <f t="shared" si="1"/>
        <v>216000</v>
      </c>
    </row>
    <row r="83" spans="1:10" ht="56.25">
      <c r="A83" s="19">
        <v>77</v>
      </c>
      <c r="B83" s="5" t="s">
        <v>156</v>
      </c>
      <c r="C83" s="18" t="s">
        <v>157</v>
      </c>
      <c r="D83" s="20" t="s">
        <v>158</v>
      </c>
      <c r="E83" s="15">
        <v>8</v>
      </c>
      <c r="F83" s="6"/>
      <c r="G83" s="16">
        <v>216000</v>
      </c>
      <c r="H83" s="16">
        <v>2794400</v>
      </c>
      <c r="I83" s="6"/>
      <c r="J83" s="17">
        <f t="shared" si="1"/>
        <v>3010400</v>
      </c>
    </row>
    <row r="84" spans="1:10" ht="37.5">
      <c r="A84" s="19">
        <v>78</v>
      </c>
      <c r="B84" s="5" t="s">
        <v>159</v>
      </c>
      <c r="C84" s="18" t="s">
        <v>27</v>
      </c>
      <c r="D84" s="20" t="s">
        <v>160</v>
      </c>
      <c r="E84" s="15">
        <v>5</v>
      </c>
      <c r="F84" s="6">
        <v>1200000</v>
      </c>
      <c r="G84" s="16">
        <v>135000</v>
      </c>
      <c r="H84" s="16"/>
      <c r="I84" s="6">
        <v>891075</v>
      </c>
      <c r="J84" s="17">
        <f t="shared" si="1"/>
        <v>2226075</v>
      </c>
    </row>
    <row r="85" spans="1:10" ht="56.25">
      <c r="A85" s="19">
        <v>79</v>
      </c>
      <c r="B85" s="5" t="s">
        <v>161</v>
      </c>
      <c r="C85" s="18" t="s">
        <v>162</v>
      </c>
      <c r="D85" s="20" t="s">
        <v>163</v>
      </c>
      <c r="E85" s="15">
        <v>6</v>
      </c>
      <c r="F85" s="6">
        <v>250000</v>
      </c>
      <c r="G85" s="16">
        <v>162000</v>
      </c>
      <c r="H85" s="16">
        <v>282780</v>
      </c>
      <c r="I85" s="6"/>
      <c r="J85" s="17">
        <f t="shared" si="1"/>
        <v>694780</v>
      </c>
    </row>
    <row r="86" spans="1:10" ht="56.25">
      <c r="A86" s="19">
        <v>80</v>
      </c>
      <c r="B86" s="5" t="s">
        <v>164</v>
      </c>
      <c r="C86" s="18" t="s">
        <v>76</v>
      </c>
      <c r="D86" s="20" t="s">
        <v>165</v>
      </c>
      <c r="E86" s="15">
        <v>4</v>
      </c>
      <c r="F86" s="6">
        <v>300000</v>
      </c>
      <c r="G86" s="16">
        <v>108000</v>
      </c>
      <c r="H86" s="16"/>
      <c r="I86" s="6"/>
      <c r="J86" s="17">
        <f t="shared" si="1"/>
        <v>408000</v>
      </c>
    </row>
    <row r="87" spans="1:10" ht="56.25">
      <c r="A87" s="19">
        <v>81</v>
      </c>
      <c r="B87" s="5" t="s">
        <v>164</v>
      </c>
      <c r="C87" s="18" t="s">
        <v>76</v>
      </c>
      <c r="D87" s="20" t="s">
        <v>165</v>
      </c>
      <c r="E87" s="15">
        <v>4</v>
      </c>
      <c r="F87" s="6">
        <v>492000</v>
      </c>
      <c r="G87" s="16">
        <v>108000</v>
      </c>
      <c r="H87" s="16"/>
      <c r="I87" s="6"/>
      <c r="J87" s="17">
        <f t="shared" si="1"/>
        <v>600000</v>
      </c>
    </row>
    <row r="88" spans="1:10" ht="56.25">
      <c r="A88" s="19">
        <v>82</v>
      </c>
      <c r="B88" s="5" t="s">
        <v>166</v>
      </c>
      <c r="C88" s="18" t="s">
        <v>167</v>
      </c>
      <c r="D88" s="20" t="s">
        <v>168</v>
      </c>
      <c r="E88" s="15">
        <v>6</v>
      </c>
      <c r="F88" s="6">
        <v>560000</v>
      </c>
      <c r="G88" s="16">
        <v>162000</v>
      </c>
      <c r="H88" s="16">
        <v>256800</v>
      </c>
      <c r="I88" s="6"/>
      <c r="J88" s="17">
        <f t="shared" si="1"/>
        <v>978800</v>
      </c>
    </row>
    <row r="89" spans="1:10" ht="75">
      <c r="A89" s="19">
        <v>83</v>
      </c>
      <c r="B89" s="5" t="s">
        <v>169</v>
      </c>
      <c r="C89" s="18" t="s">
        <v>31</v>
      </c>
      <c r="D89" s="20" t="s">
        <v>170</v>
      </c>
      <c r="E89" s="15">
        <v>22</v>
      </c>
      <c r="F89" s="6">
        <v>3980000</v>
      </c>
      <c r="G89" s="16">
        <v>594000</v>
      </c>
      <c r="H89" s="16"/>
      <c r="I89" s="6"/>
      <c r="J89" s="17">
        <f t="shared" si="1"/>
        <v>4574000</v>
      </c>
    </row>
    <row r="90" spans="1:10" ht="37.5">
      <c r="A90" s="19">
        <v>84</v>
      </c>
      <c r="B90" s="5" t="s">
        <v>171</v>
      </c>
      <c r="C90" s="18" t="s">
        <v>172</v>
      </c>
      <c r="D90" s="20" t="s">
        <v>173</v>
      </c>
      <c r="E90" s="15">
        <v>3</v>
      </c>
      <c r="F90" s="6">
        <v>1656000</v>
      </c>
      <c r="G90" s="16">
        <v>81000</v>
      </c>
      <c r="H90" s="16"/>
      <c r="I90" s="6"/>
      <c r="J90" s="17">
        <f t="shared" si="1"/>
        <v>1737000</v>
      </c>
    </row>
    <row r="91" spans="1:10" ht="37.5">
      <c r="A91" s="19">
        <v>85</v>
      </c>
      <c r="B91" s="5" t="s">
        <v>174</v>
      </c>
      <c r="C91" s="18" t="s">
        <v>175</v>
      </c>
      <c r="D91" s="20" t="s">
        <v>176</v>
      </c>
      <c r="E91" s="15">
        <v>2</v>
      </c>
      <c r="F91" s="6">
        <v>200000</v>
      </c>
      <c r="G91" s="16">
        <v>54000</v>
      </c>
      <c r="H91" s="16"/>
      <c r="I91" s="6"/>
      <c r="J91" s="17">
        <f t="shared" si="1"/>
        <v>254000</v>
      </c>
    </row>
    <row r="92" spans="1:10" ht="37.5">
      <c r="A92" s="19">
        <v>86</v>
      </c>
      <c r="B92" s="5" t="s">
        <v>177</v>
      </c>
      <c r="C92" s="18" t="s">
        <v>178</v>
      </c>
      <c r="D92" s="20" t="s">
        <v>179</v>
      </c>
      <c r="E92" s="15">
        <v>2</v>
      </c>
      <c r="F92" s="6">
        <v>500000</v>
      </c>
      <c r="G92" s="16">
        <v>54000</v>
      </c>
      <c r="H92" s="16"/>
      <c r="I92" s="6"/>
      <c r="J92" s="17">
        <f t="shared" si="1"/>
        <v>554000</v>
      </c>
    </row>
    <row r="93" spans="1:10" ht="37.5">
      <c r="A93" s="19">
        <v>87</v>
      </c>
      <c r="B93" s="5" t="s">
        <v>180</v>
      </c>
      <c r="C93" s="18" t="s">
        <v>178</v>
      </c>
      <c r="D93" s="20" t="s">
        <v>181</v>
      </c>
      <c r="E93" s="15">
        <v>4</v>
      </c>
      <c r="F93" s="6"/>
      <c r="G93" s="16">
        <v>108000</v>
      </c>
      <c r="H93" s="16">
        <v>1071168</v>
      </c>
      <c r="I93" s="6"/>
      <c r="J93" s="17">
        <f t="shared" si="1"/>
        <v>1179168</v>
      </c>
    </row>
    <row r="94" spans="1:10" ht="37.5">
      <c r="A94" s="19">
        <v>88</v>
      </c>
      <c r="B94" s="5">
        <v>44660</v>
      </c>
      <c r="C94" s="18" t="s">
        <v>182</v>
      </c>
      <c r="D94" s="20" t="s">
        <v>183</v>
      </c>
      <c r="E94" s="15">
        <v>1</v>
      </c>
      <c r="F94" s="6"/>
      <c r="G94" s="16">
        <v>27000</v>
      </c>
      <c r="H94" s="16">
        <v>346000</v>
      </c>
      <c r="I94" s="6"/>
      <c r="J94" s="17">
        <f t="shared" si="1"/>
        <v>373000</v>
      </c>
    </row>
    <row r="95" spans="1:10" ht="150">
      <c r="A95" s="19">
        <v>89</v>
      </c>
      <c r="B95" s="5" t="s">
        <v>184</v>
      </c>
      <c r="C95" s="18" t="s">
        <v>185</v>
      </c>
      <c r="D95" s="20" t="s">
        <v>186</v>
      </c>
      <c r="E95" s="15">
        <v>34</v>
      </c>
      <c r="F95" s="6">
        <v>3475000</v>
      </c>
      <c r="G95" s="16">
        <v>918000</v>
      </c>
      <c r="H95" s="16">
        <v>2565000</v>
      </c>
      <c r="I95" s="6"/>
      <c r="J95" s="17">
        <f t="shared" si="1"/>
        <v>6958000</v>
      </c>
    </row>
    <row r="96" spans="1:10" ht="75">
      <c r="A96" s="19">
        <v>90</v>
      </c>
      <c r="B96" s="5" t="s">
        <v>187</v>
      </c>
      <c r="C96" s="18" t="s">
        <v>31</v>
      </c>
      <c r="D96" s="20" t="s">
        <v>188</v>
      </c>
      <c r="E96" s="15">
        <v>19</v>
      </c>
      <c r="F96" s="6">
        <v>3980000</v>
      </c>
      <c r="G96" s="16">
        <v>513000</v>
      </c>
      <c r="H96" s="16">
        <v>2595925</v>
      </c>
      <c r="I96" s="6"/>
      <c r="J96" s="17">
        <f t="shared" si="1"/>
        <v>7088925</v>
      </c>
    </row>
    <row r="97" spans="1:10" ht="37.5">
      <c r="A97" s="19">
        <v>91</v>
      </c>
      <c r="B97" s="5" t="s">
        <v>189</v>
      </c>
      <c r="C97" s="18" t="s">
        <v>190</v>
      </c>
      <c r="D97" s="20" t="s">
        <v>191</v>
      </c>
      <c r="E97" s="15">
        <v>4</v>
      </c>
      <c r="F97" s="6">
        <v>600000</v>
      </c>
      <c r="G97" s="16">
        <v>108000</v>
      </c>
      <c r="H97" s="16">
        <v>261140</v>
      </c>
      <c r="I97" s="6"/>
      <c r="J97" s="17">
        <f t="shared" si="1"/>
        <v>969140</v>
      </c>
    </row>
    <row r="98" spans="1:10" ht="37.5">
      <c r="A98" s="19">
        <v>92</v>
      </c>
      <c r="B98" s="5" t="s">
        <v>192</v>
      </c>
      <c r="C98" s="18" t="s">
        <v>46</v>
      </c>
      <c r="D98" s="20" t="s">
        <v>193</v>
      </c>
      <c r="E98" s="15">
        <v>7</v>
      </c>
      <c r="F98" s="6">
        <v>1000000</v>
      </c>
      <c r="G98" s="16">
        <v>189000</v>
      </c>
      <c r="H98" s="16">
        <v>391600</v>
      </c>
      <c r="I98" s="6"/>
      <c r="J98" s="17">
        <f t="shared" si="1"/>
        <v>1580600</v>
      </c>
    </row>
    <row r="99" spans="1:10" ht="37.5">
      <c r="A99" s="19">
        <v>93</v>
      </c>
      <c r="B99" s="5" t="s">
        <v>194</v>
      </c>
      <c r="C99" s="18" t="s">
        <v>21</v>
      </c>
      <c r="D99" s="20" t="s">
        <v>195</v>
      </c>
      <c r="E99" s="15">
        <v>5</v>
      </c>
      <c r="F99" s="6">
        <v>100000</v>
      </c>
      <c r="G99" s="16">
        <v>135000</v>
      </c>
      <c r="H99" s="16">
        <v>307000</v>
      </c>
      <c r="I99" s="6"/>
      <c r="J99" s="17">
        <f t="shared" si="1"/>
        <v>542000</v>
      </c>
    </row>
    <row r="100" spans="1:10" ht="37.5">
      <c r="A100" s="19">
        <v>94</v>
      </c>
      <c r="B100" s="5" t="s">
        <v>196</v>
      </c>
      <c r="C100" s="18" t="s">
        <v>15</v>
      </c>
      <c r="D100" s="20" t="s">
        <v>197</v>
      </c>
      <c r="E100" s="15">
        <v>4</v>
      </c>
      <c r="F100" s="6"/>
      <c r="G100" s="16">
        <v>108000</v>
      </c>
      <c r="H100" s="16">
        <v>410700</v>
      </c>
      <c r="I100" s="6"/>
      <c r="J100" s="17">
        <f t="shared" si="1"/>
        <v>518700</v>
      </c>
    </row>
    <row r="101" spans="1:10" ht="37.5">
      <c r="A101" s="19">
        <v>95</v>
      </c>
      <c r="B101" s="5" t="s">
        <v>198</v>
      </c>
      <c r="C101" s="18" t="s">
        <v>21</v>
      </c>
      <c r="D101" s="20" t="s">
        <v>199</v>
      </c>
      <c r="E101" s="15">
        <v>5</v>
      </c>
      <c r="F101" s="6">
        <v>100000</v>
      </c>
      <c r="G101" s="16">
        <v>135000</v>
      </c>
      <c r="H101" s="16">
        <v>307000</v>
      </c>
      <c r="I101" s="6"/>
      <c r="J101" s="17">
        <f t="shared" si="1"/>
        <v>542000</v>
      </c>
    </row>
    <row r="102" spans="1:10" ht="56.25">
      <c r="A102" s="19">
        <v>96</v>
      </c>
      <c r="B102" s="5" t="s">
        <v>169</v>
      </c>
      <c r="C102" s="18" t="s">
        <v>200</v>
      </c>
      <c r="D102" s="20" t="s">
        <v>201</v>
      </c>
      <c r="E102" s="15">
        <v>22</v>
      </c>
      <c r="F102" s="16">
        <v>3650000</v>
      </c>
      <c r="G102" s="16">
        <v>594000</v>
      </c>
      <c r="H102" s="16">
        <v>418620</v>
      </c>
      <c r="I102" s="6"/>
      <c r="J102" s="17">
        <f t="shared" si="1"/>
        <v>4662620</v>
      </c>
    </row>
    <row r="103" spans="1:10" ht="37.5">
      <c r="A103" s="19">
        <v>97</v>
      </c>
      <c r="B103" s="5" t="s">
        <v>202</v>
      </c>
      <c r="C103" s="18" t="s">
        <v>21</v>
      </c>
      <c r="D103" s="20" t="s">
        <v>195</v>
      </c>
      <c r="E103" s="15">
        <v>3</v>
      </c>
      <c r="F103" s="16">
        <v>200000</v>
      </c>
      <c r="G103" s="16">
        <v>81000</v>
      </c>
      <c r="H103" s="16">
        <v>972000</v>
      </c>
      <c r="I103" s="6"/>
      <c r="J103" s="17">
        <f t="shared" si="1"/>
        <v>1253000</v>
      </c>
    </row>
    <row r="104" spans="1:10" ht="93.75">
      <c r="A104" s="19">
        <v>98</v>
      </c>
      <c r="B104" s="5" t="s">
        <v>203</v>
      </c>
      <c r="C104" s="18" t="s">
        <v>204</v>
      </c>
      <c r="D104" s="20" t="s">
        <v>201</v>
      </c>
      <c r="E104" s="15">
        <v>31</v>
      </c>
      <c r="F104" s="6">
        <v>5898000</v>
      </c>
      <c r="G104" s="16">
        <v>837000</v>
      </c>
      <c r="H104" s="16">
        <v>519920</v>
      </c>
      <c r="I104" s="6"/>
      <c r="J104" s="17">
        <f t="shared" si="1"/>
        <v>7254920</v>
      </c>
    </row>
    <row r="105" spans="1:10" ht="75">
      <c r="A105" s="19">
        <v>99</v>
      </c>
      <c r="B105" s="5" t="s">
        <v>205</v>
      </c>
      <c r="C105" s="18" t="s">
        <v>206</v>
      </c>
      <c r="D105" s="20" t="s">
        <v>158</v>
      </c>
      <c r="E105" s="15">
        <v>8</v>
      </c>
      <c r="F105" s="6"/>
      <c r="G105" s="16">
        <v>216000</v>
      </c>
      <c r="H105" s="16"/>
      <c r="I105" s="6"/>
      <c r="J105" s="17">
        <f t="shared" si="1"/>
        <v>216000</v>
      </c>
    </row>
    <row r="106" spans="1:10" ht="37.5">
      <c r="A106" s="19">
        <v>100</v>
      </c>
      <c r="B106" s="5" t="s">
        <v>202</v>
      </c>
      <c r="C106" s="18" t="s">
        <v>21</v>
      </c>
      <c r="D106" s="20" t="s">
        <v>207</v>
      </c>
      <c r="E106" s="15">
        <v>3</v>
      </c>
      <c r="F106" s="6">
        <v>200000</v>
      </c>
      <c r="G106" s="16">
        <v>81000</v>
      </c>
      <c r="H106" s="16"/>
      <c r="I106" s="6"/>
      <c r="J106" s="17">
        <f t="shared" si="1"/>
        <v>281000</v>
      </c>
    </row>
    <row r="107" spans="1:10" ht="37.5">
      <c r="A107" s="19">
        <v>101</v>
      </c>
      <c r="B107" s="5">
        <v>44662</v>
      </c>
      <c r="C107" s="18" t="s">
        <v>26</v>
      </c>
      <c r="D107" s="20" t="s">
        <v>208</v>
      </c>
      <c r="E107" s="15">
        <v>1</v>
      </c>
      <c r="F107" s="6">
        <v>330000</v>
      </c>
      <c r="G107" s="16">
        <v>27000</v>
      </c>
      <c r="H107" s="16">
        <v>0</v>
      </c>
      <c r="I107" s="6"/>
      <c r="J107" s="17">
        <f t="shared" si="1"/>
        <v>357000</v>
      </c>
    </row>
    <row r="108" spans="1:10" ht="37.5">
      <c r="A108" s="19">
        <v>102</v>
      </c>
      <c r="B108" s="5" t="s">
        <v>209</v>
      </c>
      <c r="C108" s="18" t="s">
        <v>32</v>
      </c>
      <c r="D108" s="20" t="s">
        <v>210</v>
      </c>
      <c r="E108" s="15">
        <v>3</v>
      </c>
      <c r="F108" s="6">
        <v>652500</v>
      </c>
      <c r="G108" s="16">
        <v>81000</v>
      </c>
      <c r="H108" s="16">
        <v>260000</v>
      </c>
      <c r="I108" s="6"/>
      <c r="J108" s="17">
        <f t="shared" si="1"/>
        <v>993500</v>
      </c>
    </row>
    <row r="109" spans="1:10" ht="75">
      <c r="A109" s="19">
        <v>103</v>
      </c>
      <c r="B109" s="5" t="s">
        <v>211</v>
      </c>
      <c r="C109" s="18" t="s">
        <v>18</v>
      </c>
      <c r="D109" s="20" t="s">
        <v>212</v>
      </c>
      <c r="E109" s="15">
        <v>20</v>
      </c>
      <c r="F109" s="6">
        <v>5200000</v>
      </c>
      <c r="G109" s="16">
        <v>540000</v>
      </c>
      <c r="H109" s="16">
        <v>1967552</v>
      </c>
      <c r="I109" s="6"/>
      <c r="J109" s="17">
        <f t="shared" si="1"/>
        <v>7707552</v>
      </c>
    </row>
    <row r="110" spans="1:10" ht="112.5">
      <c r="A110" s="19">
        <v>104</v>
      </c>
      <c r="B110" s="5" t="s">
        <v>213</v>
      </c>
      <c r="C110" s="18" t="s">
        <v>15</v>
      </c>
      <c r="D110" s="20" t="s">
        <v>214</v>
      </c>
      <c r="E110" s="15">
        <v>14</v>
      </c>
      <c r="F110" s="16">
        <v>2780000</v>
      </c>
      <c r="G110" s="16">
        <v>378000</v>
      </c>
      <c r="H110" s="16">
        <v>2235447</v>
      </c>
      <c r="I110" s="6"/>
      <c r="J110" s="17">
        <f t="shared" si="1"/>
        <v>5393447</v>
      </c>
    </row>
    <row r="111" spans="1:10" ht="37.5">
      <c r="A111" s="19">
        <v>105</v>
      </c>
      <c r="B111" s="5" t="s">
        <v>215</v>
      </c>
      <c r="C111" s="18" t="s">
        <v>26</v>
      </c>
      <c r="D111" s="20" t="s">
        <v>216</v>
      </c>
      <c r="E111" s="15">
        <v>4</v>
      </c>
      <c r="F111" s="6">
        <v>750000</v>
      </c>
      <c r="G111" s="16">
        <v>108000</v>
      </c>
      <c r="H111" s="16">
        <v>0</v>
      </c>
      <c r="I111" s="6"/>
      <c r="J111" s="17">
        <f t="shared" si="1"/>
        <v>858000</v>
      </c>
    </row>
    <row r="112" spans="1:10" ht="37.5">
      <c r="A112" s="19">
        <v>106</v>
      </c>
      <c r="B112" s="5" t="s">
        <v>217</v>
      </c>
      <c r="C112" s="18" t="s">
        <v>26</v>
      </c>
      <c r="D112" s="20" t="s">
        <v>216</v>
      </c>
      <c r="E112" s="15">
        <v>4</v>
      </c>
      <c r="F112" s="16">
        <v>1225000</v>
      </c>
      <c r="G112" s="16">
        <v>108000</v>
      </c>
      <c r="H112" s="16">
        <v>0</v>
      </c>
      <c r="I112" s="6"/>
      <c r="J112" s="17">
        <f t="shared" si="1"/>
        <v>1333000</v>
      </c>
    </row>
    <row r="113" spans="1:10" ht="37.5">
      <c r="A113" s="19">
        <v>107</v>
      </c>
      <c r="B113" s="5" t="s">
        <v>217</v>
      </c>
      <c r="C113" s="18" t="s">
        <v>35</v>
      </c>
      <c r="D113" s="20" t="s">
        <v>218</v>
      </c>
      <c r="E113" s="15">
        <v>4</v>
      </c>
      <c r="F113" s="6"/>
      <c r="G113" s="16">
        <v>108000</v>
      </c>
      <c r="H113" s="16">
        <v>0</v>
      </c>
      <c r="I113" s="6"/>
      <c r="J113" s="17">
        <f t="shared" si="1"/>
        <v>108000</v>
      </c>
    </row>
    <row r="114" spans="1:10" ht="56.25">
      <c r="A114" s="19">
        <v>108</v>
      </c>
      <c r="B114" s="5" t="s">
        <v>219</v>
      </c>
      <c r="C114" s="18" t="s">
        <v>220</v>
      </c>
      <c r="D114" s="20" t="s">
        <v>221</v>
      </c>
      <c r="E114" s="15">
        <v>9</v>
      </c>
      <c r="F114" s="6"/>
      <c r="G114" s="16">
        <v>243000</v>
      </c>
      <c r="H114" s="16"/>
      <c r="I114" s="6"/>
      <c r="J114" s="17">
        <f t="shared" si="1"/>
        <v>243000</v>
      </c>
    </row>
    <row r="115" spans="1:10" ht="37.5">
      <c r="A115" s="19">
        <v>109</v>
      </c>
      <c r="B115" s="5" t="s">
        <v>222</v>
      </c>
      <c r="C115" s="18" t="s">
        <v>223</v>
      </c>
      <c r="D115" s="20" t="s">
        <v>224</v>
      </c>
      <c r="E115" s="15">
        <v>3</v>
      </c>
      <c r="F115" s="6">
        <v>200000</v>
      </c>
      <c r="G115" s="16">
        <v>81000</v>
      </c>
      <c r="H115" s="16"/>
      <c r="I115" s="6"/>
      <c r="J115" s="17">
        <f t="shared" si="1"/>
        <v>281000</v>
      </c>
    </row>
    <row r="116" spans="1:10" ht="37.5">
      <c r="A116" s="19">
        <v>110</v>
      </c>
      <c r="B116" s="5" t="s">
        <v>215</v>
      </c>
      <c r="C116" s="18" t="s">
        <v>26</v>
      </c>
      <c r="D116" s="20" t="s">
        <v>216</v>
      </c>
      <c r="E116" s="15">
        <v>4</v>
      </c>
      <c r="F116" s="6">
        <v>200000</v>
      </c>
      <c r="G116" s="16">
        <v>108000</v>
      </c>
      <c r="H116" s="16"/>
      <c r="I116" s="6"/>
      <c r="J116" s="17">
        <f t="shared" si="1"/>
        <v>308000</v>
      </c>
    </row>
    <row r="117" spans="1:10" ht="37.5">
      <c r="A117" s="19">
        <v>111</v>
      </c>
      <c r="B117" s="5" t="s">
        <v>217</v>
      </c>
      <c r="C117" s="18" t="s">
        <v>26</v>
      </c>
      <c r="D117" s="20" t="s">
        <v>216</v>
      </c>
      <c r="E117" s="15">
        <v>4</v>
      </c>
      <c r="F117" s="6"/>
      <c r="G117" s="16">
        <v>108000</v>
      </c>
      <c r="H117" s="16">
        <v>2283000</v>
      </c>
      <c r="I117" s="6"/>
      <c r="J117" s="17">
        <f t="shared" si="1"/>
        <v>2391000</v>
      </c>
    </row>
    <row r="118" spans="1:10" ht="37.5">
      <c r="A118" s="19">
        <v>112</v>
      </c>
      <c r="B118" s="5" t="s">
        <v>225</v>
      </c>
      <c r="C118" s="18" t="s">
        <v>35</v>
      </c>
      <c r="D118" s="20" t="s">
        <v>218</v>
      </c>
      <c r="E118" s="15">
        <v>4</v>
      </c>
      <c r="F118" s="6"/>
      <c r="G118" s="16">
        <v>108000</v>
      </c>
      <c r="H118" s="16">
        <v>1679500</v>
      </c>
      <c r="I118" s="6"/>
      <c r="J118" s="17">
        <f t="shared" si="1"/>
        <v>1787500</v>
      </c>
    </row>
    <row r="119" spans="1:10" ht="37.5">
      <c r="A119" s="19">
        <v>113</v>
      </c>
      <c r="B119" s="5" t="s">
        <v>226</v>
      </c>
      <c r="C119" s="18" t="s">
        <v>26</v>
      </c>
      <c r="D119" s="20" t="s">
        <v>216</v>
      </c>
      <c r="E119" s="15">
        <v>9</v>
      </c>
      <c r="F119" s="6">
        <v>1760000</v>
      </c>
      <c r="G119" s="16">
        <v>243000</v>
      </c>
      <c r="H119" s="16">
        <v>123150</v>
      </c>
      <c r="I119" s="6"/>
      <c r="J119" s="17">
        <f t="shared" si="1"/>
        <v>2126150</v>
      </c>
    </row>
    <row r="120" spans="1:10" ht="37.5">
      <c r="A120" s="19">
        <v>114</v>
      </c>
      <c r="B120" s="5" t="s">
        <v>227</v>
      </c>
      <c r="C120" s="18" t="s">
        <v>17</v>
      </c>
      <c r="D120" s="20" t="s">
        <v>228</v>
      </c>
      <c r="E120" s="15">
        <v>10</v>
      </c>
      <c r="F120" s="6"/>
      <c r="G120" s="16">
        <v>270000</v>
      </c>
      <c r="H120" s="16">
        <v>1331500</v>
      </c>
      <c r="I120" s="6"/>
      <c r="J120" s="17">
        <f t="shared" si="1"/>
        <v>1601500</v>
      </c>
    </row>
    <row r="121" spans="1:10" ht="56.25">
      <c r="A121" s="19">
        <v>115</v>
      </c>
      <c r="B121" s="5" t="s">
        <v>229</v>
      </c>
      <c r="C121" s="18" t="s">
        <v>230</v>
      </c>
      <c r="D121" s="20" t="s">
        <v>231</v>
      </c>
      <c r="E121" s="15">
        <v>12</v>
      </c>
      <c r="F121" s="6">
        <v>1475000</v>
      </c>
      <c r="G121" s="16">
        <v>324000</v>
      </c>
      <c r="H121" s="16">
        <v>564000</v>
      </c>
      <c r="I121" s="6"/>
      <c r="J121" s="17">
        <f t="shared" si="1"/>
        <v>2363000</v>
      </c>
    </row>
    <row r="122" spans="1:10" ht="37.5">
      <c r="A122" s="19">
        <v>116</v>
      </c>
      <c r="B122" s="5" t="s">
        <v>232</v>
      </c>
      <c r="C122" s="18" t="s">
        <v>26</v>
      </c>
      <c r="D122" s="20" t="s">
        <v>216</v>
      </c>
      <c r="E122" s="15">
        <v>4</v>
      </c>
      <c r="F122" s="6">
        <v>525000</v>
      </c>
      <c r="G122" s="16">
        <v>108000</v>
      </c>
      <c r="H122" s="16"/>
      <c r="I122" s="6"/>
      <c r="J122" s="17">
        <f t="shared" si="1"/>
        <v>633000</v>
      </c>
    </row>
    <row r="123" spans="1:10" ht="56.25">
      <c r="A123" s="19">
        <v>117</v>
      </c>
      <c r="B123" s="5" t="s">
        <v>217</v>
      </c>
      <c r="C123" s="18" t="s">
        <v>230</v>
      </c>
      <c r="D123" s="20" t="s">
        <v>233</v>
      </c>
      <c r="E123" s="15">
        <v>4</v>
      </c>
      <c r="F123" s="6">
        <v>650000</v>
      </c>
      <c r="G123" s="16">
        <v>108000</v>
      </c>
      <c r="H123" s="16">
        <v>485125</v>
      </c>
      <c r="I123" s="6"/>
      <c r="J123" s="17">
        <f t="shared" si="1"/>
        <v>1243125</v>
      </c>
    </row>
    <row r="124" spans="1:10" ht="75">
      <c r="A124" s="19">
        <v>118</v>
      </c>
      <c r="B124" s="5" t="s">
        <v>234</v>
      </c>
      <c r="C124" s="18" t="s">
        <v>235</v>
      </c>
      <c r="D124" s="20" t="s">
        <v>236</v>
      </c>
      <c r="E124" s="15">
        <v>9</v>
      </c>
      <c r="F124" s="6">
        <v>1200000</v>
      </c>
      <c r="G124" s="16">
        <v>243000</v>
      </c>
      <c r="H124" s="16">
        <v>307000</v>
      </c>
      <c r="I124" s="6"/>
      <c r="J124" s="17">
        <f t="shared" si="1"/>
        <v>1750000</v>
      </c>
    </row>
    <row r="125" spans="1:10" ht="75">
      <c r="A125" s="19">
        <v>119</v>
      </c>
      <c r="B125" s="5" t="s">
        <v>234</v>
      </c>
      <c r="C125" s="18" t="s">
        <v>235</v>
      </c>
      <c r="D125" s="20" t="s">
        <v>236</v>
      </c>
      <c r="E125" s="15">
        <v>8</v>
      </c>
      <c r="F125" s="6">
        <v>1200000</v>
      </c>
      <c r="G125" s="16">
        <v>216000</v>
      </c>
      <c r="H125" s="16"/>
      <c r="I125" s="6"/>
      <c r="J125" s="17">
        <f t="shared" si="1"/>
        <v>1416000</v>
      </c>
    </row>
    <row r="126" spans="1:10" ht="37.5">
      <c r="A126" s="19">
        <v>120</v>
      </c>
      <c r="B126" s="5" t="s">
        <v>237</v>
      </c>
      <c r="C126" s="18" t="s">
        <v>26</v>
      </c>
      <c r="D126" s="20" t="s">
        <v>216</v>
      </c>
      <c r="E126" s="15">
        <v>4</v>
      </c>
      <c r="F126" s="6">
        <v>600000</v>
      </c>
      <c r="G126" s="16">
        <v>108000</v>
      </c>
      <c r="H126" s="16">
        <v>123150</v>
      </c>
      <c r="I126" s="6"/>
      <c r="J126" s="17">
        <f t="shared" si="1"/>
        <v>831150</v>
      </c>
    </row>
    <row r="127" spans="1:10" ht="37.5">
      <c r="A127" s="19">
        <v>121</v>
      </c>
      <c r="B127" s="5" t="s">
        <v>238</v>
      </c>
      <c r="C127" s="18" t="s">
        <v>239</v>
      </c>
      <c r="D127" s="20" t="s">
        <v>240</v>
      </c>
      <c r="E127" s="15">
        <v>6</v>
      </c>
      <c r="F127" s="6"/>
      <c r="G127" s="16">
        <v>162000</v>
      </c>
      <c r="H127" s="16">
        <v>395000</v>
      </c>
      <c r="I127" s="6"/>
      <c r="J127" s="17">
        <f t="shared" si="1"/>
        <v>557000</v>
      </c>
    </row>
    <row r="128" spans="1:10" ht="37.5">
      <c r="A128" s="19">
        <v>122</v>
      </c>
      <c r="B128" s="5">
        <v>44705</v>
      </c>
      <c r="C128" s="18" t="s">
        <v>241</v>
      </c>
      <c r="D128" s="20" t="s">
        <v>242</v>
      </c>
      <c r="E128" s="15">
        <v>1</v>
      </c>
      <c r="F128" s="6"/>
      <c r="G128" s="16">
        <v>27000</v>
      </c>
      <c r="H128" s="16">
        <v>284000</v>
      </c>
      <c r="I128" s="6"/>
      <c r="J128" s="17">
        <f t="shared" si="1"/>
        <v>311000</v>
      </c>
    </row>
    <row r="129" spans="1:10" ht="37.5">
      <c r="A129" s="19">
        <v>123</v>
      </c>
      <c r="B129" s="5" t="s">
        <v>243</v>
      </c>
      <c r="C129" s="18" t="s">
        <v>11</v>
      </c>
      <c r="D129" s="20" t="s">
        <v>244</v>
      </c>
      <c r="E129" s="15">
        <v>1</v>
      </c>
      <c r="F129" s="6"/>
      <c r="G129" s="16">
        <v>27000</v>
      </c>
      <c r="H129" s="16">
        <v>238000</v>
      </c>
      <c r="I129" s="6"/>
      <c r="J129" s="17">
        <f t="shared" si="1"/>
        <v>265000</v>
      </c>
    </row>
    <row r="130" spans="1:10" ht="37.5">
      <c r="A130" s="19">
        <v>124</v>
      </c>
      <c r="B130" s="5" t="s">
        <v>245</v>
      </c>
      <c r="C130" s="18" t="s">
        <v>15</v>
      </c>
      <c r="D130" s="20" t="s">
        <v>246</v>
      </c>
      <c r="E130" s="15">
        <v>7</v>
      </c>
      <c r="F130" s="6"/>
      <c r="G130" s="16">
        <v>189000</v>
      </c>
      <c r="H130" s="16"/>
      <c r="I130" s="6"/>
      <c r="J130" s="17">
        <f t="shared" si="1"/>
        <v>189000</v>
      </c>
    </row>
    <row r="131" spans="1:10" ht="37.5">
      <c r="A131" s="19">
        <v>125</v>
      </c>
      <c r="B131" s="5" t="s">
        <v>247</v>
      </c>
      <c r="C131" s="18" t="s">
        <v>22</v>
      </c>
      <c r="D131" s="20" t="s">
        <v>248</v>
      </c>
      <c r="E131" s="15">
        <v>5</v>
      </c>
      <c r="F131" s="6"/>
      <c r="G131" s="16">
        <v>135000</v>
      </c>
      <c r="H131" s="16"/>
      <c r="I131" s="6"/>
      <c r="J131" s="17">
        <f t="shared" si="1"/>
        <v>135000</v>
      </c>
    </row>
    <row r="132" spans="1:10" ht="37.5">
      <c r="A132" s="19">
        <v>126</v>
      </c>
      <c r="B132" s="5" t="s">
        <v>249</v>
      </c>
      <c r="C132" s="18" t="s">
        <v>34</v>
      </c>
      <c r="D132" s="20" t="s">
        <v>250</v>
      </c>
      <c r="E132" s="15">
        <v>5</v>
      </c>
      <c r="F132" s="6">
        <v>850000</v>
      </c>
      <c r="G132" s="16">
        <v>135000</v>
      </c>
      <c r="H132" s="16"/>
      <c r="I132" s="6"/>
      <c r="J132" s="17">
        <f t="shared" si="1"/>
        <v>985000</v>
      </c>
    </row>
    <row r="133" spans="1:10" ht="37.5">
      <c r="A133" s="19">
        <v>127</v>
      </c>
      <c r="B133" s="5" t="s">
        <v>247</v>
      </c>
      <c r="C133" s="18" t="s">
        <v>22</v>
      </c>
      <c r="D133" s="20" t="s">
        <v>248</v>
      </c>
      <c r="E133" s="15">
        <v>5</v>
      </c>
      <c r="F133" s="6"/>
      <c r="G133" s="16">
        <v>135000</v>
      </c>
      <c r="H133" s="16">
        <v>858000</v>
      </c>
      <c r="I133" s="6"/>
      <c r="J133" s="17">
        <f aca="true" t="shared" si="2" ref="J133:J196">+F133+G133+H133+I133</f>
        <v>993000</v>
      </c>
    </row>
    <row r="134" spans="1:10" ht="37.5">
      <c r="A134" s="19">
        <v>128</v>
      </c>
      <c r="B134" s="5" t="s">
        <v>251</v>
      </c>
      <c r="C134" s="18" t="s">
        <v>34</v>
      </c>
      <c r="D134" s="20" t="s">
        <v>252</v>
      </c>
      <c r="E134" s="15">
        <v>6</v>
      </c>
      <c r="F134" s="6">
        <v>900000</v>
      </c>
      <c r="G134" s="16">
        <v>162000</v>
      </c>
      <c r="H134" s="16">
        <v>292000</v>
      </c>
      <c r="I134" s="6"/>
      <c r="J134" s="17">
        <f t="shared" si="2"/>
        <v>1354000</v>
      </c>
    </row>
    <row r="135" spans="1:10" ht="37.5">
      <c r="A135" s="19">
        <v>129</v>
      </c>
      <c r="B135" s="5" t="s">
        <v>253</v>
      </c>
      <c r="C135" s="18" t="s">
        <v>24</v>
      </c>
      <c r="D135" s="20" t="s">
        <v>254</v>
      </c>
      <c r="E135" s="15">
        <v>10</v>
      </c>
      <c r="F135" s="6">
        <v>2700000</v>
      </c>
      <c r="G135" s="16">
        <v>270000</v>
      </c>
      <c r="H135" s="16"/>
      <c r="I135" s="6"/>
      <c r="J135" s="17">
        <f t="shared" si="2"/>
        <v>2970000</v>
      </c>
    </row>
    <row r="136" spans="1:10" ht="37.5">
      <c r="A136" s="19">
        <v>130</v>
      </c>
      <c r="B136" s="5" t="s">
        <v>255</v>
      </c>
      <c r="C136" s="18" t="s">
        <v>256</v>
      </c>
      <c r="D136" s="20" t="s">
        <v>257</v>
      </c>
      <c r="E136" s="15">
        <v>6</v>
      </c>
      <c r="F136" s="6"/>
      <c r="G136" s="16">
        <v>162000</v>
      </c>
      <c r="H136" s="16">
        <v>2015000</v>
      </c>
      <c r="I136" s="6"/>
      <c r="J136" s="17">
        <f t="shared" si="2"/>
        <v>2177000</v>
      </c>
    </row>
    <row r="137" spans="1:10" ht="37.5">
      <c r="A137" s="19">
        <v>131</v>
      </c>
      <c r="B137" s="5" t="s">
        <v>258</v>
      </c>
      <c r="C137" s="18" t="s">
        <v>26</v>
      </c>
      <c r="D137" s="20" t="s">
        <v>221</v>
      </c>
      <c r="E137" s="15">
        <v>9</v>
      </c>
      <c r="F137" s="6">
        <v>0</v>
      </c>
      <c r="G137" s="16">
        <v>243000</v>
      </c>
      <c r="H137" s="16">
        <v>1292200</v>
      </c>
      <c r="I137" s="6"/>
      <c r="J137" s="17">
        <f t="shared" si="2"/>
        <v>1535200</v>
      </c>
    </row>
    <row r="138" spans="1:10" ht="37.5">
      <c r="A138" s="19">
        <v>132</v>
      </c>
      <c r="B138" s="5" t="s">
        <v>259</v>
      </c>
      <c r="C138" s="18" t="s">
        <v>260</v>
      </c>
      <c r="D138" s="20" t="s">
        <v>261</v>
      </c>
      <c r="E138" s="15">
        <v>8</v>
      </c>
      <c r="F138" s="6">
        <v>1400000</v>
      </c>
      <c r="G138" s="16">
        <v>216000</v>
      </c>
      <c r="H138" s="16">
        <v>210000</v>
      </c>
      <c r="I138" s="6"/>
      <c r="J138" s="17">
        <f t="shared" si="2"/>
        <v>1826000</v>
      </c>
    </row>
    <row r="139" spans="1:10" ht="37.5">
      <c r="A139" s="19">
        <v>133</v>
      </c>
      <c r="B139" s="5" t="s">
        <v>262</v>
      </c>
      <c r="C139" s="18" t="s">
        <v>260</v>
      </c>
      <c r="D139" s="20" t="s">
        <v>263</v>
      </c>
      <c r="E139" s="15">
        <v>17</v>
      </c>
      <c r="F139" s="6">
        <v>2330000</v>
      </c>
      <c r="G139" s="16">
        <v>468000</v>
      </c>
      <c r="H139" s="16">
        <v>204000</v>
      </c>
      <c r="I139" s="6"/>
      <c r="J139" s="17">
        <f t="shared" si="2"/>
        <v>3002000</v>
      </c>
    </row>
    <row r="140" spans="1:10" ht="37.5">
      <c r="A140" s="19">
        <v>134</v>
      </c>
      <c r="B140" s="5" t="s">
        <v>264</v>
      </c>
      <c r="C140" s="18" t="s">
        <v>260</v>
      </c>
      <c r="D140" s="20" t="s">
        <v>265</v>
      </c>
      <c r="E140" s="15">
        <v>10</v>
      </c>
      <c r="F140" s="6">
        <v>2000000</v>
      </c>
      <c r="G140" s="16">
        <v>300000</v>
      </c>
      <c r="H140" s="16">
        <v>93920</v>
      </c>
      <c r="I140" s="6"/>
      <c r="J140" s="17">
        <f t="shared" si="2"/>
        <v>2393920</v>
      </c>
    </row>
    <row r="141" spans="1:10" ht="37.5">
      <c r="A141" s="19">
        <v>135</v>
      </c>
      <c r="B141" s="5" t="s">
        <v>266</v>
      </c>
      <c r="C141" s="18" t="s">
        <v>267</v>
      </c>
      <c r="D141" s="20" t="s">
        <v>268</v>
      </c>
      <c r="E141" s="15">
        <v>5</v>
      </c>
      <c r="F141" s="6">
        <v>880000</v>
      </c>
      <c r="G141" s="16">
        <v>135000</v>
      </c>
      <c r="H141" s="16">
        <v>492000</v>
      </c>
      <c r="I141" s="6"/>
      <c r="J141" s="17">
        <f t="shared" si="2"/>
        <v>1507000</v>
      </c>
    </row>
    <row r="142" spans="1:10" ht="75">
      <c r="A142" s="19">
        <v>136</v>
      </c>
      <c r="B142" s="5" t="s">
        <v>269</v>
      </c>
      <c r="C142" s="18" t="s">
        <v>12</v>
      </c>
      <c r="D142" s="20" t="s">
        <v>270</v>
      </c>
      <c r="E142" s="15">
        <v>20</v>
      </c>
      <c r="F142" s="6">
        <v>3428000</v>
      </c>
      <c r="G142" s="16">
        <v>589000</v>
      </c>
      <c r="H142" s="6"/>
      <c r="I142" s="6"/>
      <c r="J142" s="17">
        <f t="shared" si="2"/>
        <v>4017000</v>
      </c>
    </row>
    <row r="143" spans="1:10" ht="75">
      <c r="A143" s="19">
        <v>137</v>
      </c>
      <c r="B143" s="5" t="s">
        <v>271</v>
      </c>
      <c r="C143" s="18" t="s">
        <v>12</v>
      </c>
      <c r="D143" s="20" t="s">
        <v>270</v>
      </c>
      <c r="E143" s="15">
        <v>18</v>
      </c>
      <c r="F143" s="6">
        <v>4585000</v>
      </c>
      <c r="G143" s="16">
        <v>519000</v>
      </c>
      <c r="H143" s="16"/>
      <c r="I143" s="6"/>
      <c r="J143" s="17">
        <f t="shared" si="2"/>
        <v>5104000</v>
      </c>
    </row>
    <row r="144" spans="1:10" ht="37.5">
      <c r="A144" s="19">
        <v>138</v>
      </c>
      <c r="B144" s="5" t="s">
        <v>272</v>
      </c>
      <c r="C144" s="26" t="s">
        <v>12</v>
      </c>
      <c r="D144" s="20" t="s">
        <v>273</v>
      </c>
      <c r="E144" s="15">
        <v>8</v>
      </c>
      <c r="F144" s="6">
        <v>1075000</v>
      </c>
      <c r="G144" s="16">
        <v>216000</v>
      </c>
      <c r="H144" s="16">
        <v>123150</v>
      </c>
      <c r="I144" s="6"/>
      <c r="J144" s="17">
        <f t="shared" si="2"/>
        <v>1414150</v>
      </c>
    </row>
    <row r="145" spans="1:10" ht="37.5">
      <c r="A145" s="19">
        <v>139</v>
      </c>
      <c r="B145" s="5" t="s">
        <v>274</v>
      </c>
      <c r="C145" s="26" t="s">
        <v>275</v>
      </c>
      <c r="D145" s="20" t="s">
        <v>276</v>
      </c>
      <c r="E145" s="15">
        <v>1</v>
      </c>
      <c r="F145" s="6"/>
      <c r="G145" s="16">
        <v>27000</v>
      </c>
      <c r="H145" s="16"/>
      <c r="I145" s="6"/>
      <c r="J145" s="17">
        <f t="shared" si="2"/>
        <v>27000</v>
      </c>
    </row>
    <row r="146" spans="1:10" ht="37.5">
      <c r="A146" s="19">
        <v>140</v>
      </c>
      <c r="B146" s="5" t="s">
        <v>277</v>
      </c>
      <c r="C146" s="26" t="s">
        <v>13</v>
      </c>
      <c r="D146" s="20" t="s">
        <v>278</v>
      </c>
      <c r="E146" s="15">
        <v>4</v>
      </c>
      <c r="F146" s="6"/>
      <c r="G146" s="16">
        <v>108000</v>
      </c>
      <c r="H146" s="16"/>
      <c r="I146" s="6"/>
      <c r="J146" s="17">
        <f t="shared" si="2"/>
        <v>108000</v>
      </c>
    </row>
    <row r="147" spans="1:10" ht="37.5">
      <c r="A147" s="19">
        <v>141</v>
      </c>
      <c r="B147" s="5" t="s">
        <v>277</v>
      </c>
      <c r="C147" s="26" t="s">
        <v>279</v>
      </c>
      <c r="D147" s="20" t="s">
        <v>280</v>
      </c>
      <c r="E147" s="15">
        <v>7</v>
      </c>
      <c r="F147" s="6"/>
      <c r="G147" s="16">
        <v>189000</v>
      </c>
      <c r="H147" s="16">
        <v>238000</v>
      </c>
      <c r="I147" s="6"/>
      <c r="J147" s="17">
        <f t="shared" si="2"/>
        <v>427000</v>
      </c>
    </row>
    <row r="148" spans="1:10" ht="37.5">
      <c r="A148" s="19">
        <v>142</v>
      </c>
      <c r="B148" s="5" t="s">
        <v>281</v>
      </c>
      <c r="C148" s="26" t="s">
        <v>20</v>
      </c>
      <c r="D148" s="20" t="s">
        <v>282</v>
      </c>
      <c r="E148" s="15">
        <v>5</v>
      </c>
      <c r="F148" s="6"/>
      <c r="G148" s="16">
        <v>135000</v>
      </c>
      <c r="H148" s="16">
        <v>390880</v>
      </c>
      <c r="I148" s="6"/>
      <c r="J148" s="17">
        <f t="shared" si="2"/>
        <v>525880</v>
      </c>
    </row>
    <row r="149" spans="1:10" ht="37.5">
      <c r="A149" s="19">
        <v>143</v>
      </c>
      <c r="B149" s="5" t="s">
        <v>283</v>
      </c>
      <c r="C149" s="26" t="s">
        <v>21</v>
      </c>
      <c r="D149" s="20" t="s">
        <v>284</v>
      </c>
      <c r="E149" s="15">
        <v>5</v>
      </c>
      <c r="F149" s="6">
        <v>400000</v>
      </c>
      <c r="G149" s="16">
        <v>147000</v>
      </c>
      <c r="H149" s="16">
        <v>292000</v>
      </c>
      <c r="I149" s="6"/>
      <c r="J149" s="17">
        <f t="shared" si="2"/>
        <v>839000</v>
      </c>
    </row>
    <row r="150" spans="1:10" ht="37.5">
      <c r="A150" s="19">
        <v>144</v>
      </c>
      <c r="B150" s="5">
        <v>44730</v>
      </c>
      <c r="C150" s="26" t="s">
        <v>267</v>
      </c>
      <c r="D150" s="20" t="s">
        <v>285</v>
      </c>
      <c r="E150" s="15">
        <v>1</v>
      </c>
      <c r="F150" s="6">
        <v>300000</v>
      </c>
      <c r="G150" s="16">
        <v>27000</v>
      </c>
      <c r="H150" s="16"/>
      <c r="I150" s="6"/>
      <c r="J150" s="17">
        <f t="shared" si="2"/>
        <v>327000</v>
      </c>
    </row>
    <row r="151" spans="1:10" ht="37.5">
      <c r="A151" s="19">
        <v>145</v>
      </c>
      <c r="B151" s="5">
        <v>44730</v>
      </c>
      <c r="C151" s="26" t="s">
        <v>267</v>
      </c>
      <c r="D151" s="20" t="s">
        <v>285</v>
      </c>
      <c r="E151" s="15">
        <v>1</v>
      </c>
      <c r="F151" s="6">
        <v>400000</v>
      </c>
      <c r="G151" s="16">
        <v>27000</v>
      </c>
      <c r="H151" s="16"/>
      <c r="I151" s="6"/>
      <c r="J151" s="17">
        <f t="shared" si="2"/>
        <v>427000</v>
      </c>
    </row>
    <row r="152" spans="1:10" ht="37.5">
      <c r="A152" s="19">
        <v>146</v>
      </c>
      <c r="B152" s="5" t="s">
        <v>277</v>
      </c>
      <c r="C152" s="26" t="s">
        <v>13</v>
      </c>
      <c r="D152" s="20" t="s">
        <v>280</v>
      </c>
      <c r="E152" s="15">
        <v>4</v>
      </c>
      <c r="F152" s="6"/>
      <c r="G152" s="16">
        <v>108000</v>
      </c>
      <c r="H152" s="16">
        <v>4474000</v>
      </c>
      <c r="I152" s="6"/>
      <c r="J152" s="17">
        <f t="shared" si="2"/>
        <v>4582000</v>
      </c>
    </row>
    <row r="153" spans="1:10" ht="37.5">
      <c r="A153" s="19">
        <v>147</v>
      </c>
      <c r="B153" s="5" t="s">
        <v>286</v>
      </c>
      <c r="C153" s="26" t="s">
        <v>35</v>
      </c>
      <c r="D153" s="20" t="s">
        <v>287</v>
      </c>
      <c r="E153" s="15">
        <v>3</v>
      </c>
      <c r="F153" s="6">
        <v>400000</v>
      </c>
      <c r="G153" s="16">
        <v>90000</v>
      </c>
      <c r="H153" s="16">
        <v>156000</v>
      </c>
      <c r="I153" s="6"/>
      <c r="J153" s="17">
        <f t="shared" si="2"/>
        <v>646000</v>
      </c>
    </row>
    <row r="154" spans="1:10" ht="37.5">
      <c r="A154" s="19">
        <v>148</v>
      </c>
      <c r="B154" s="5" t="s">
        <v>288</v>
      </c>
      <c r="C154" s="26" t="s">
        <v>14</v>
      </c>
      <c r="D154" s="20" t="s">
        <v>289</v>
      </c>
      <c r="E154" s="15">
        <v>3</v>
      </c>
      <c r="F154" s="6">
        <v>400000</v>
      </c>
      <c r="G154" s="16">
        <v>90000</v>
      </c>
      <c r="H154" s="16"/>
      <c r="I154" s="6"/>
      <c r="J154" s="17">
        <f t="shared" si="2"/>
        <v>490000</v>
      </c>
    </row>
    <row r="155" spans="1:10" ht="37.5">
      <c r="A155" s="19">
        <v>149</v>
      </c>
      <c r="B155" s="5" t="s">
        <v>283</v>
      </c>
      <c r="C155" s="26" t="s">
        <v>267</v>
      </c>
      <c r="D155" s="20" t="s">
        <v>290</v>
      </c>
      <c r="E155" s="15">
        <v>4</v>
      </c>
      <c r="F155" s="6">
        <v>400000</v>
      </c>
      <c r="G155" s="16">
        <v>108000</v>
      </c>
      <c r="H155" s="16">
        <v>307000</v>
      </c>
      <c r="I155" s="6"/>
      <c r="J155" s="17">
        <f t="shared" si="2"/>
        <v>815000</v>
      </c>
    </row>
    <row r="156" spans="1:10" ht="37.5">
      <c r="A156" s="19">
        <v>150</v>
      </c>
      <c r="B156" s="5" t="s">
        <v>291</v>
      </c>
      <c r="C156" s="26" t="s">
        <v>26</v>
      </c>
      <c r="D156" s="20" t="s">
        <v>273</v>
      </c>
      <c r="E156" s="15">
        <v>9</v>
      </c>
      <c r="F156" s="6">
        <v>1475000</v>
      </c>
      <c r="G156" s="16">
        <v>243000</v>
      </c>
      <c r="H156" s="16">
        <v>123150</v>
      </c>
      <c r="I156" s="6"/>
      <c r="J156" s="17">
        <f t="shared" si="2"/>
        <v>1841150</v>
      </c>
    </row>
    <row r="157" spans="1:10" ht="37.5">
      <c r="A157" s="19">
        <v>151</v>
      </c>
      <c r="B157" s="5" t="s">
        <v>292</v>
      </c>
      <c r="C157" s="26" t="s">
        <v>14</v>
      </c>
      <c r="D157" s="20" t="s">
        <v>293</v>
      </c>
      <c r="E157" s="15">
        <v>4</v>
      </c>
      <c r="F157" s="6">
        <v>850000</v>
      </c>
      <c r="G157" s="16">
        <v>108000</v>
      </c>
      <c r="H157" s="16">
        <v>443375</v>
      </c>
      <c r="I157" s="6"/>
      <c r="J157" s="17">
        <f t="shared" si="2"/>
        <v>1401375</v>
      </c>
    </row>
    <row r="158" spans="1:10" ht="37.5">
      <c r="A158" s="19">
        <v>152</v>
      </c>
      <c r="B158" s="5" t="s">
        <v>294</v>
      </c>
      <c r="C158" s="26" t="s">
        <v>20</v>
      </c>
      <c r="D158" s="20" t="s">
        <v>295</v>
      </c>
      <c r="E158" s="15">
        <v>3</v>
      </c>
      <c r="F158" s="6">
        <v>400000</v>
      </c>
      <c r="G158" s="16">
        <v>81000</v>
      </c>
      <c r="H158" s="16">
        <v>721018</v>
      </c>
      <c r="I158" s="6"/>
      <c r="J158" s="17">
        <f t="shared" si="2"/>
        <v>1202018</v>
      </c>
    </row>
    <row r="159" spans="1:10" ht="37.5">
      <c r="A159" s="19">
        <v>153</v>
      </c>
      <c r="B159" s="5" t="s">
        <v>296</v>
      </c>
      <c r="C159" s="26" t="s">
        <v>267</v>
      </c>
      <c r="D159" s="20" t="s">
        <v>297</v>
      </c>
      <c r="E159" s="15">
        <v>3</v>
      </c>
      <c r="F159" s="6">
        <v>400000</v>
      </c>
      <c r="G159" s="16">
        <v>90000</v>
      </c>
      <c r="H159" s="16">
        <v>336000</v>
      </c>
      <c r="I159" s="6"/>
      <c r="J159" s="17">
        <f t="shared" si="2"/>
        <v>826000</v>
      </c>
    </row>
    <row r="160" spans="1:10" ht="37.5">
      <c r="A160" s="19">
        <v>154</v>
      </c>
      <c r="B160" s="5" t="s">
        <v>298</v>
      </c>
      <c r="C160" s="26" t="s">
        <v>299</v>
      </c>
      <c r="D160" s="20" t="s">
        <v>287</v>
      </c>
      <c r="E160" s="15">
        <v>2</v>
      </c>
      <c r="F160" s="6">
        <v>546000</v>
      </c>
      <c r="G160" s="16">
        <v>60000</v>
      </c>
      <c r="H160" s="16">
        <v>246300</v>
      </c>
      <c r="I160" s="6"/>
      <c r="J160" s="17">
        <f t="shared" si="2"/>
        <v>852300</v>
      </c>
    </row>
    <row r="161" spans="1:10" ht="37.5">
      <c r="A161" s="19">
        <v>155</v>
      </c>
      <c r="B161" s="5" t="s">
        <v>300</v>
      </c>
      <c r="C161" s="26" t="s">
        <v>11</v>
      </c>
      <c r="D161" s="20" t="s">
        <v>301</v>
      </c>
      <c r="E161" s="15">
        <v>3</v>
      </c>
      <c r="F161" s="6">
        <v>300000</v>
      </c>
      <c r="G161" s="16">
        <v>81000</v>
      </c>
      <c r="H161" s="16">
        <v>542760</v>
      </c>
      <c r="I161" s="6"/>
      <c r="J161" s="17">
        <f t="shared" si="2"/>
        <v>923760</v>
      </c>
    </row>
    <row r="162" spans="1:10" ht="37.5">
      <c r="A162" s="19">
        <v>156</v>
      </c>
      <c r="B162" s="5" t="s">
        <v>302</v>
      </c>
      <c r="C162" s="26" t="s">
        <v>33</v>
      </c>
      <c r="D162" s="20" t="s">
        <v>303</v>
      </c>
      <c r="E162" s="15">
        <v>2</v>
      </c>
      <c r="F162" s="6">
        <v>200000</v>
      </c>
      <c r="G162" s="16">
        <v>54000</v>
      </c>
      <c r="H162" s="16">
        <v>204000</v>
      </c>
      <c r="I162" s="6"/>
      <c r="J162" s="17">
        <f t="shared" si="2"/>
        <v>458000</v>
      </c>
    </row>
    <row r="163" spans="1:13" ht="37.5">
      <c r="A163" s="19">
        <v>157</v>
      </c>
      <c r="B163" s="30" t="s">
        <v>304</v>
      </c>
      <c r="C163" s="31" t="s">
        <v>33</v>
      </c>
      <c r="D163" s="32" t="s">
        <v>305</v>
      </c>
      <c r="E163" s="33">
        <v>3</v>
      </c>
      <c r="F163" s="34">
        <v>600000</v>
      </c>
      <c r="G163" s="35">
        <f>30000*3</f>
        <v>90000</v>
      </c>
      <c r="H163" s="35">
        <v>247730</v>
      </c>
      <c r="I163" s="35"/>
      <c r="J163" s="17">
        <f t="shared" si="2"/>
        <v>937730</v>
      </c>
      <c r="K163" s="36"/>
      <c r="L163" s="37"/>
      <c r="M163" s="38"/>
    </row>
    <row r="164" spans="1:13" ht="37.5">
      <c r="A164" s="19">
        <v>158</v>
      </c>
      <c r="B164" s="30" t="s">
        <v>306</v>
      </c>
      <c r="C164" s="31" t="s">
        <v>18</v>
      </c>
      <c r="D164" s="32" t="s">
        <v>307</v>
      </c>
      <c r="E164" s="33">
        <v>2</v>
      </c>
      <c r="F164" s="34">
        <v>200000</v>
      </c>
      <c r="G164" s="35">
        <f>30000*2</f>
        <v>60000</v>
      </c>
      <c r="H164" s="35">
        <v>227140</v>
      </c>
      <c r="I164" s="35"/>
      <c r="J164" s="17">
        <f t="shared" si="2"/>
        <v>487140</v>
      </c>
      <c r="K164" s="36"/>
      <c r="L164" s="37"/>
      <c r="M164" s="38"/>
    </row>
    <row r="165" spans="1:13" ht="75">
      <c r="A165" s="19">
        <v>159</v>
      </c>
      <c r="B165" s="30" t="s">
        <v>308</v>
      </c>
      <c r="C165" s="31" t="s">
        <v>309</v>
      </c>
      <c r="D165" s="32" t="s">
        <v>310</v>
      </c>
      <c r="E165" s="33">
        <v>50</v>
      </c>
      <c r="F165" s="34">
        <v>8000000</v>
      </c>
      <c r="G165" s="35">
        <v>1440000</v>
      </c>
      <c r="H165" s="35">
        <v>7123852</v>
      </c>
      <c r="I165" s="35"/>
      <c r="J165" s="17">
        <f t="shared" si="2"/>
        <v>16563852</v>
      </c>
      <c r="K165" s="36"/>
      <c r="L165" s="37"/>
      <c r="M165" s="38"/>
    </row>
    <row r="166" spans="1:13" ht="37.5">
      <c r="A166" s="19">
        <v>160</v>
      </c>
      <c r="B166" s="30" t="s">
        <v>311</v>
      </c>
      <c r="C166" s="31" t="s">
        <v>14</v>
      </c>
      <c r="D166" s="32" t="s">
        <v>287</v>
      </c>
      <c r="E166" s="33">
        <v>2</v>
      </c>
      <c r="F166" s="34">
        <v>280000</v>
      </c>
      <c r="G166" s="35">
        <v>60000</v>
      </c>
      <c r="H166" s="35"/>
      <c r="I166" s="35"/>
      <c r="J166" s="17">
        <f t="shared" si="2"/>
        <v>340000</v>
      </c>
      <c r="K166" s="36"/>
      <c r="L166" s="37"/>
      <c r="M166" s="38"/>
    </row>
    <row r="167" spans="1:10" ht="37.5">
      <c r="A167" s="19">
        <v>161</v>
      </c>
      <c r="B167" s="30">
        <v>44733</v>
      </c>
      <c r="C167" s="31" t="s">
        <v>312</v>
      </c>
      <c r="D167" s="32" t="s">
        <v>313</v>
      </c>
      <c r="E167" s="33">
        <v>1</v>
      </c>
      <c r="F167" s="34">
        <v>0</v>
      </c>
      <c r="G167" s="35">
        <v>27000</v>
      </c>
      <c r="H167" s="35">
        <v>328000</v>
      </c>
      <c r="I167" s="6"/>
      <c r="J167" s="17">
        <f t="shared" si="2"/>
        <v>355000</v>
      </c>
    </row>
    <row r="168" spans="1:10" ht="37.5">
      <c r="A168" s="19">
        <v>162</v>
      </c>
      <c r="B168" s="30" t="s">
        <v>314</v>
      </c>
      <c r="C168" s="31" t="s">
        <v>14</v>
      </c>
      <c r="D168" s="32" t="s">
        <v>315</v>
      </c>
      <c r="E168" s="33">
        <v>3</v>
      </c>
      <c r="F168" s="34">
        <v>0</v>
      </c>
      <c r="G168" s="35">
        <f>27000*3</f>
        <v>81000</v>
      </c>
      <c r="H168" s="35">
        <v>471000</v>
      </c>
      <c r="I168" s="6"/>
      <c r="J168" s="17">
        <f t="shared" si="2"/>
        <v>552000</v>
      </c>
    </row>
    <row r="169" spans="1:10" ht="37.5">
      <c r="A169" s="19">
        <v>163</v>
      </c>
      <c r="B169" s="30" t="s">
        <v>316</v>
      </c>
      <c r="C169" s="31" t="s">
        <v>22</v>
      </c>
      <c r="D169" s="32" t="s">
        <v>317</v>
      </c>
      <c r="E169" s="33">
        <v>19</v>
      </c>
      <c r="F169" s="34">
        <v>2400000</v>
      </c>
      <c r="G169" s="35">
        <f>30000*19</f>
        <v>570000</v>
      </c>
      <c r="H169" s="35">
        <f>146000+146000</f>
        <v>292000</v>
      </c>
      <c r="I169" s="6"/>
      <c r="J169" s="17">
        <f t="shared" si="2"/>
        <v>3262000</v>
      </c>
    </row>
    <row r="170" spans="1:10" ht="37.5">
      <c r="A170" s="19">
        <v>164</v>
      </c>
      <c r="B170" s="30" t="s">
        <v>318</v>
      </c>
      <c r="C170" s="31" t="s">
        <v>13</v>
      </c>
      <c r="D170" s="32" t="s">
        <v>319</v>
      </c>
      <c r="E170" s="33">
        <v>3</v>
      </c>
      <c r="F170" s="34">
        <v>600000</v>
      </c>
      <c r="G170" s="35">
        <f>30000*3</f>
        <v>90000</v>
      </c>
      <c r="H170" s="35">
        <f>105730+105000</f>
        <v>210730</v>
      </c>
      <c r="I170" s="6"/>
      <c r="J170" s="17">
        <f t="shared" si="2"/>
        <v>900730</v>
      </c>
    </row>
    <row r="171" spans="1:10" ht="37.5">
      <c r="A171" s="19">
        <v>165</v>
      </c>
      <c r="B171" s="30" t="s">
        <v>316</v>
      </c>
      <c r="C171" s="31" t="s">
        <v>22</v>
      </c>
      <c r="D171" s="32" t="s">
        <v>317</v>
      </c>
      <c r="E171" s="33">
        <v>19</v>
      </c>
      <c r="F171" s="34">
        <f>2100000+150000+150000</f>
        <v>2400000</v>
      </c>
      <c r="G171" s="39">
        <f>30000*19</f>
        <v>570000</v>
      </c>
      <c r="H171" s="35">
        <f>146000+146000</f>
        <v>292000</v>
      </c>
      <c r="I171" s="6"/>
      <c r="J171" s="17">
        <f t="shared" si="2"/>
        <v>3262000</v>
      </c>
    </row>
    <row r="172" spans="1:10" ht="37.5">
      <c r="A172" s="19">
        <v>166</v>
      </c>
      <c r="B172" s="30" t="s">
        <v>316</v>
      </c>
      <c r="C172" s="31" t="s">
        <v>22</v>
      </c>
      <c r="D172" s="32" t="s">
        <v>317</v>
      </c>
      <c r="E172" s="33">
        <v>19</v>
      </c>
      <c r="F172" s="34">
        <v>2700000</v>
      </c>
      <c r="G172" s="35">
        <f>30000*18</f>
        <v>540000</v>
      </c>
      <c r="H172" s="35">
        <f>146000+146000</f>
        <v>292000</v>
      </c>
      <c r="I172" s="6"/>
      <c r="J172" s="17">
        <f t="shared" si="2"/>
        <v>3532000</v>
      </c>
    </row>
    <row r="173" spans="1:10" ht="75">
      <c r="A173" s="19">
        <v>167</v>
      </c>
      <c r="B173" s="30" t="s">
        <v>320</v>
      </c>
      <c r="C173" s="31" t="s">
        <v>321</v>
      </c>
      <c r="D173" s="32" t="s">
        <v>322</v>
      </c>
      <c r="E173" s="33">
        <v>12</v>
      </c>
      <c r="F173" s="34">
        <f>2340000+360000+200000</f>
        <v>2900000</v>
      </c>
      <c r="G173" s="35">
        <f>30000*12</f>
        <v>360000</v>
      </c>
      <c r="H173" s="35">
        <v>136520</v>
      </c>
      <c r="I173" s="6"/>
      <c r="J173" s="17">
        <f t="shared" si="2"/>
        <v>3396520</v>
      </c>
    </row>
    <row r="174" spans="1:10" ht="37.5">
      <c r="A174" s="19">
        <v>168</v>
      </c>
      <c r="B174" s="30" t="s">
        <v>323</v>
      </c>
      <c r="C174" s="31" t="s">
        <v>20</v>
      </c>
      <c r="D174" s="32" t="s">
        <v>324</v>
      </c>
      <c r="E174" s="33">
        <v>10</v>
      </c>
      <c r="F174" s="34">
        <v>2700000</v>
      </c>
      <c r="G174" s="35">
        <f>27000*10</f>
        <v>270000</v>
      </c>
      <c r="H174" s="35">
        <f>483593+455796</f>
        <v>939389</v>
      </c>
      <c r="I174" s="6"/>
      <c r="J174" s="17">
        <f t="shared" si="2"/>
        <v>3909389</v>
      </c>
    </row>
    <row r="175" spans="1:10" ht="37.5">
      <c r="A175" s="19">
        <v>169</v>
      </c>
      <c r="B175" s="30" t="s">
        <v>325</v>
      </c>
      <c r="C175" s="31" t="s">
        <v>16</v>
      </c>
      <c r="D175" s="32" t="s">
        <v>326</v>
      </c>
      <c r="E175" s="33">
        <v>9</v>
      </c>
      <c r="F175" s="35">
        <f>750000+1350000</f>
        <v>2100000</v>
      </c>
      <c r="G175" s="35">
        <f>30000*9</f>
        <v>270000</v>
      </c>
      <c r="H175" s="35"/>
      <c r="I175" s="6"/>
      <c r="J175" s="17">
        <f t="shared" si="2"/>
        <v>2370000</v>
      </c>
    </row>
    <row r="176" spans="1:10" ht="37.5">
      <c r="A176" s="19">
        <v>170</v>
      </c>
      <c r="B176" s="30" t="s">
        <v>327</v>
      </c>
      <c r="C176" s="31" t="s">
        <v>13</v>
      </c>
      <c r="D176" s="32" t="s">
        <v>328</v>
      </c>
      <c r="E176" s="33">
        <v>11</v>
      </c>
      <c r="F176" s="34">
        <v>200000</v>
      </c>
      <c r="G176" s="35">
        <f>27000*11</f>
        <v>297000</v>
      </c>
      <c r="H176" s="35">
        <f>126950+126950</f>
        <v>253900</v>
      </c>
      <c r="I176" s="6"/>
      <c r="J176" s="17">
        <f t="shared" si="2"/>
        <v>750900</v>
      </c>
    </row>
    <row r="177" spans="1:10" ht="112.5">
      <c r="A177" s="19">
        <v>171</v>
      </c>
      <c r="B177" s="30" t="s">
        <v>329</v>
      </c>
      <c r="C177" s="31" t="s">
        <v>330</v>
      </c>
      <c r="D177" s="32" t="s">
        <v>331</v>
      </c>
      <c r="E177" s="33">
        <f>27+30</f>
        <v>57</v>
      </c>
      <c r="F177" s="34">
        <f>1200000+1100000+2160000+320000+300000+600000+200000+300000+600000</f>
        <v>6780000</v>
      </c>
      <c r="G177" s="35">
        <f>432000+690000</f>
        <v>1122000</v>
      </c>
      <c r="H177" s="35">
        <f>345000+340000+160000+178000+344000+266000+210000+360000+80000+142000+255300+301000+336000+200000+270000+285200+300000+342000+225000</f>
        <v>4939500</v>
      </c>
      <c r="I177" s="6"/>
      <c r="J177" s="17">
        <f t="shared" si="2"/>
        <v>12841500</v>
      </c>
    </row>
    <row r="178" spans="1:10" ht="56.25">
      <c r="A178" s="19">
        <v>172</v>
      </c>
      <c r="B178" s="30" t="s">
        <v>332</v>
      </c>
      <c r="C178" s="31" t="s">
        <v>20</v>
      </c>
      <c r="D178" s="32" t="s">
        <v>333</v>
      </c>
      <c r="E178" s="33">
        <v>5</v>
      </c>
      <c r="F178" s="34">
        <f>325000+1200000</f>
        <v>1525000</v>
      </c>
      <c r="G178" s="35">
        <v>150000</v>
      </c>
      <c r="H178" s="35">
        <f>320000+362000+156000+378000</f>
        <v>1216000</v>
      </c>
      <c r="I178" s="6"/>
      <c r="J178" s="17">
        <f t="shared" si="2"/>
        <v>2891000</v>
      </c>
    </row>
    <row r="179" spans="1:10" ht="37.5">
      <c r="A179" s="19">
        <v>173</v>
      </c>
      <c r="B179" s="30" t="s">
        <v>318</v>
      </c>
      <c r="C179" s="31" t="s">
        <v>13</v>
      </c>
      <c r="D179" s="32" t="s">
        <v>319</v>
      </c>
      <c r="E179" s="33">
        <v>3</v>
      </c>
      <c r="F179" s="34">
        <v>600000</v>
      </c>
      <c r="G179" s="35">
        <f>30000*3</f>
        <v>90000</v>
      </c>
      <c r="H179" s="35">
        <f>105730+105000</f>
        <v>210730</v>
      </c>
      <c r="I179" s="6"/>
      <c r="J179" s="17">
        <f t="shared" si="2"/>
        <v>900730</v>
      </c>
    </row>
    <row r="180" spans="1:10" ht="37.5">
      <c r="A180" s="19">
        <v>174</v>
      </c>
      <c r="B180" s="30">
        <v>44726</v>
      </c>
      <c r="C180" s="31" t="s">
        <v>312</v>
      </c>
      <c r="D180" s="32" t="s">
        <v>334</v>
      </c>
      <c r="E180" s="33">
        <v>1</v>
      </c>
      <c r="F180" s="34">
        <v>0</v>
      </c>
      <c r="G180" s="35">
        <v>30000</v>
      </c>
      <c r="H180" s="35">
        <f>105000+105000+76000+76000</f>
        <v>362000</v>
      </c>
      <c r="I180" s="6"/>
      <c r="J180" s="17">
        <f t="shared" si="2"/>
        <v>392000</v>
      </c>
    </row>
    <row r="181" spans="1:10" ht="37.5">
      <c r="A181" s="19">
        <v>175</v>
      </c>
      <c r="B181" s="30" t="s">
        <v>335</v>
      </c>
      <c r="C181" s="31" t="s">
        <v>312</v>
      </c>
      <c r="D181" s="32" t="s">
        <v>336</v>
      </c>
      <c r="E181" s="33">
        <v>5</v>
      </c>
      <c r="F181" s="34">
        <v>1000000</v>
      </c>
      <c r="G181" s="35">
        <f>30000*5</f>
        <v>150000</v>
      </c>
      <c r="H181" s="35">
        <v>173000</v>
      </c>
      <c r="I181" s="6"/>
      <c r="J181" s="17">
        <f t="shared" si="2"/>
        <v>1323000</v>
      </c>
    </row>
    <row r="182" spans="1:10" ht="37.5">
      <c r="A182" s="19">
        <v>176</v>
      </c>
      <c r="B182" s="40" t="s">
        <v>337</v>
      </c>
      <c r="C182" s="41" t="s">
        <v>22</v>
      </c>
      <c r="D182" s="42" t="s">
        <v>285</v>
      </c>
      <c r="E182" s="43">
        <v>1</v>
      </c>
      <c r="F182" s="44">
        <v>200000</v>
      </c>
      <c r="G182" s="45">
        <f>27000*2</f>
        <v>54000</v>
      </c>
      <c r="H182" s="45">
        <f>781000+315000</f>
        <v>1096000</v>
      </c>
      <c r="I182" s="6"/>
      <c r="J182" s="17">
        <f t="shared" si="2"/>
        <v>1350000</v>
      </c>
    </row>
    <row r="183" spans="1:10" ht="37.5">
      <c r="A183" s="19">
        <v>177</v>
      </c>
      <c r="B183" s="30" t="s">
        <v>338</v>
      </c>
      <c r="C183" s="31" t="s">
        <v>22</v>
      </c>
      <c r="D183" s="32" t="s">
        <v>285</v>
      </c>
      <c r="E183" s="33">
        <v>5</v>
      </c>
      <c r="F183" s="34">
        <v>500000</v>
      </c>
      <c r="G183" s="35">
        <f>30000*5</f>
        <v>150000</v>
      </c>
      <c r="H183" s="35">
        <f>158520+158520</f>
        <v>317040</v>
      </c>
      <c r="I183" s="6"/>
      <c r="J183" s="17">
        <f t="shared" si="2"/>
        <v>967040</v>
      </c>
    </row>
    <row r="184" spans="1:10" ht="37.5">
      <c r="A184" s="19">
        <v>178</v>
      </c>
      <c r="B184" s="30" t="s">
        <v>339</v>
      </c>
      <c r="C184" s="31" t="s">
        <v>22</v>
      </c>
      <c r="D184" s="32" t="s">
        <v>340</v>
      </c>
      <c r="E184" s="33">
        <v>5</v>
      </c>
      <c r="F184" s="34">
        <v>500000</v>
      </c>
      <c r="G184" s="35">
        <f>30000*5</f>
        <v>150000</v>
      </c>
      <c r="H184" s="35">
        <f>158520+158520</f>
        <v>317040</v>
      </c>
      <c r="I184" s="6"/>
      <c r="J184" s="17">
        <f t="shared" si="2"/>
        <v>967040</v>
      </c>
    </row>
    <row r="185" spans="1:10" ht="37.5">
      <c r="A185" s="19">
        <v>179</v>
      </c>
      <c r="B185" s="30" t="s">
        <v>341</v>
      </c>
      <c r="C185" s="31" t="s">
        <v>22</v>
      </c>
      <c r="D185" s="32" t="s">
        <v>342</v>
      </c>
      <c r="E185" s="33">
        <v>12</v>
      </c>
      <c r="F185" s="34">
        <v>3060000</v>
      </c>
      <c r="G185" s="35">
        <f>30000*12</f>
        <v>360000</v>
      </c>
      <c r="H185" s="35">
        <f>270941+146000</f>
        <v>416941</v>
      </c>
      <c r="I185" s="6"/>
      <c r="J185" s="17">
        <f t="shared" si="2"/>
        <v>3836941</v>
      </c>
    </row>
    <row r="186" spans="1:10" ht="37.5">
      <c r="A186" s="19">
        <v>180</v>
      </c>
      <c r="B186" s="30" t="s">
        <v>343</v>
      </c>
      <c r="C186" s="31" t="s">
        <v>312</v>
      </c>
      <c r="D186" s="32" t="s">
        <v>336</v>
      </c>
      <c r="E186" s="33">
        <v>10</v>
      </c>
      <c r="F186" s="34">
        <v>3011000</v>
      </c>
      <c r="G186" s="35">
        <f>30000*10</f>
        <v>300000</v>
      </c>
      <c r="H186" s="35"/>
      <c r="I186" s="6"/>
      <c r="J186" s="17">
        <f t="shared" si="2"/>
        <v>3311000</v>
      </c>
    </row>
    <row r="187" spans="1:10" ht="37.5">
      <c r="A187" s="19">
        <v>181</v>
      </c>
      <c r="B187" s="30" t="s">
        <v>271</v>
      </c>
      <c r="C187" s="31" t="s">
        <v>29</v>
      </c>
      <c r="D187" s="32" t="s">
        <v>344</v>
      </c>
      <c r="E187" s="33">
        <v>18</v>
      </c>
      <c r="F187" s="34">
        <f>1890000+1300000+1400000</f>
        <v>4590000</v>
      </c>
      <c r="G187" s="35">
        <f>189000+330000</f>
        <v>519000</v>
      </c>
      <c r="H187" s="35">
        <f>89000+432000+455000+515000+176000+400000+340000+485000+426000</f>
        <v>3318000</v>
      </c>
      <c r="I187" s="6"/>
      <c r="J187" s="17">
        <f t="shared" si="2"/>
        <v>8427000</v>
      </c>
    </row>
    <row r="188" spans="1:10" ht="37.5">
      <c r="A188" s="19">
        <v>182</v>
      </c>
      <c r="B188" s="30" t="s">
        <v>343</v>
      </c>
      <c r="C188" s="31" t="s">
        <v>312</v>
      </c>
      <c r="D188" s="32" t="s">
        <v>336</v>
      </c>
      <c r="E188" s="33">
        <v>9</v>
      </c>
      <c r="F188" s="34">
        <v>1600000</v>
      </c>
      <c r="G188" s="35">
        <f>30000*9</f>
        <v>270000</v>
      </c>
      <c r="H188" s="35"/>
      <c r="I188" s="6"/>
      <c r="J188" s="17">
        <f t="shared" si="2"/>
        <v>1870000</v>
      </c>
    </row>
    <row r="189" spans="1:10" ht="37.5">
      <c r="A189" s="19">
        <v>183</v>
      </c>
      <c r="B189" s="30" t="s">
        <v>345</v>
      </c>
      <c r="C189" s="31" t="s">
        <v>223</v>
      </c>
      <c r="D189" s="32" t="s">
        <v>346</v>
      </c>
      <c r="E189" s="33">
        <v>4</v>
      </c>
      <c r="F189" s="34">
        <v>700000</v>
      </c>
      <c r="G189" s="35">
        <f>30000*4</f>
        <v>120000</v>
      </c>
      <c r="H189" s="35">
        <v>840000</v>
      </c>
      <c r="I189" s="6"/>
      <c r="J189" s="17">
        <f t="shared" si="2"/>
        <v>1660000</v>
      </c>
    </row>
    <row r="190" spans="1:10" ht="37.5">
      <c r="A190" s="19">
        <v>184</v>
      </c>
      <c r="B190" s="30" t="s">
        <v>347</v>
      </c>
      <c r="C190" s="31" t="s">
        <v>11</v>
      </c>
      <c r="D190" s="32" t="s">
        <v>348</v>
      </c>
      <c r="E190" s="33">
        <v>3</v>
      </c>
      <c r="F190" s="34">
        <v>360000</v>
      </c>
      <c r="G190" s="35">
        <f>30000*3</f>
        <v>90000</v>
      </c>
      <c r="H190" s="35">
        <f>168000+98370</f>
        <v>266370</v>
      </c>
      <c r="I190" s="6"/>
      <c r="J190" s="17">
        <f t="shared" si="2"/>
        <v>716370</v>
      </c>
    </row>
    <row r="191" spans="1:10" ht="37.5">
      <c r="A191" s="19">
        <v>185</v>
      </c>
      <c r="B191" s="30" t="s">
        <v>347</v>
      </c>
      <c r="C191" s="31" t="s">
        <v>11</v>
      </c>
      <c r="D191" s="32" t="s">
        <v>348</v>
      </c>
      <c r="E191" s="33">
        <v>3</v>
      </c>
      <c r="F191" s="34">
        <v>360000</v>
      </c>
      <c r="G191" s="35">
        <f>30000*3</f>
        <v>90000</v>
      </c>
      <c r="H191" s="35">
        <f>168000+98370</f>
        <v>266370</v>
      </c>
      <c r="I191" s="6"/>
      <c r="J191" s="17">
        <f t="shared" si="2"/>
        <v>716370</v>
      </c>
    </row>
    <row r="192" spans="1:10" ht="37.5">
      <c r="A192" s="19">
        <v>186</v>
      </c>
      <c r="B192" s="46" t="s">
        <v>349</v>
      </c>
      <c r="C192" s="47" t="s">
        <v>20</v>
      </c>
      <c r="D192" s="48" t="s">
        <v>350</v>
      </c>
      <c r="E192" s="49">
        <v>5</v>
      </c>
      <c r="F192" s="50">
        <f>350000+1200000</f>
        <v>1550000</v>
      </c>
      <c r="G192" s="51">
        <f>30000*5</f>
        <v>150000</v>
      </c>
      <c r="H192" s="51"/>
      <c r="I192" s="6"/>
      <c r="J192" s="17">
        <f t="shared" si="2"/>
        <v>1700000</v>
      </c>
    </row>
    <row r="193" spans="1:10" ht="37.5">
      <c r="A193" s="19">
        <v>187</v>
      </c>
      <c r="B193" s="30" t="s">
        <v>351</v>
      </c>
      <c r="C193" s="31" t="s">
        <v>13</v>
      </c>
      <c r="D193" s="32" t="s">
        <v>352</v>
      </c>
      <c r="E193" s="33">
        <v>2</v>
      </c>
      <c r="F193" s="34">
        <v>200000</v>
      </c>
      <c r="G193" s="35">
        <f>30000*2</f>
        <v>60000</v>
      </c>
      <c r="H193" s="35">
        <f>142000+142000</f>
        <v>284000</v>
      </c>
      <c r="I193" s="6"/>
      <c r="J193" s="17">
        <f t="shared" si="2"/>
        <v>544000</v>
      </c>
    </row>
    <row r="194" spans="1:10" ht="37.5">
      <c r="A194" s="19">
        <v>188</v>
      </c>
      <c r="B194" s="30" t="s">
        <v>339</v>
      </c>
      <c r="C194" s="31" t="s">
        <v>235</v>
      </c>
      <c r="D194" s="32" t="s">
        <v>353</v>
      </c>
      <c r="E194" s="33">
        <v>6</v>
      </c>
      <c r="F194" s="34"/>
      <c r="G194" s="35">
        <f>30000*6</f>
        <v>180000</v>
      </c>
      <c r="H194" s="35">
        <f>89520+89520</f>
        <v>179040</v>
      </c>
      <c r="I194" s="35"/>
      <c r="J194" s="17">
        <f t="shared" si="2"/>
        <v>359040</v>
      </c>
    </row>
    <row r="195" spans="1:10" ht="37.5">
      <c r="A195" s="19">
        <v>189</v>
      </c>
      <c r="B195" s="30" t="s">
        <v>354</v>
      </c>
      <c r="C195" s="31" t="s">
        <v>26</v>
      </c>
      <c r="D195" s="32" t="s">
        <v>355</v>
      </c>
      <c r="E195" s="33">
        <v>6</v>
      </c>
      <c r="F195" s="34">
        <f>325000+440000</f>
        <v>765000</v>
      </c>
      <c r="G195" s="35">
        <f>4*30000</f>
        <v>120000</v>
      </c>
      <c r="H195" s="35"/>
      <c r="I195" s="35"/>
      <c r="J195" s="17">
        <f t="shared" si="2"/>
        <v>885000</v>
      </c>
    </row>
    <row r="196" spans="1:10" ht="37.5">
      <c r="A196" s="19">
        <v>190</v>
      </c>
      <c r="B196" s="30" t="s">
        <v>356</v>
      </c>
      <c r="C196" s="31" t="s">
        <v>141</v>
      </c>
      <c r="D196" s="32" t="s">
        <v>357</v>
      </c>
      <c r="E196" s="33">
        <v>2</v>
      </c>
      <c r="F196" s="34">
        <v>250000</v>
      </c>
      <c r="G196" s="35">
        <f>30000*2</f>
        <v>60000</v>
      </c>
      <c r="H196" s="35">
        <f>132000+25680+112800</f>
        <v>270480</v>
      </c>
      <c r="I196" s="35"/>
      <c r="J196" s="17">
        <f t="shared" si="2"/>
        <v>580480</v>
      </c>
    </row>
    <row r="197" spans="1:10" ht="75">
      <c r="A197" s="19">
        <v>191</v>
      </c>
      <c r="B197" s="30" t="s">
        <v>149</v>
      </c>
      <c r="C197" s="31" t="s">
        <v>358</v>
      </c>
      <c r="D197" s="32" t="s">
        <v>359</v>
      </c>
      <c r="E197" s="33">
        <v>5</v>
      </c>
      <c r="F197" s="34">
        <v>1065000</v>
      </c>
      <c r="G197" s="35">
        <f>27000*5</f>
        <v>135000</v>
      </c>
      <c r="H197" s="35"/>
      <c r="I197" s="35"/>
      <c r="J197" s="17">
        <f aca="true" t="shared" si="3" ref="J197:J251">+F197+G197+H197+I197</f>
        <v>1200000</v>
      </c>
    </row>
    <row r="198" spans="1:10" ht="37.5">
      <c r="A198" s="19">
        <v>192</v>
      </c>
      <c r="B198" s="30" t="s">
        <v>345</v>
      </c>
      <c r="C198" s="31" t="s">
        <v>27</v>
      </c>
      <c r="D198" s="32" t="s">
        <v>360</v>
      </c>
      <c r="E198" s="33">
        <v>4</v>
      </c>
      <c r="F198" s="34">
        <v>1050000</v>
      </c>
      <c r="G198" s="35">
        <f>30000*4</f>
        <v>120000</v>
      </c>
      <c r="H198" s="35"/>
      <c r="I198" s="35"/>
      <c r="J198" s="17">
        <f t="shared" si="3"/>
        <v>1170000</v>
      </c>
    </row>
    <row r="199" spans="1:10" ht="37.5">
      <c r="A199" s="19">
        <v>193</v>
      </c>
      <c r="B199" s="30" t="s">
        <v>361</v>
      </c>
      <c r="C199" s="31" t="s">
        <v>235</v>
      </c>
      <c r="D199" s="32" t="s">
        <v>362</v>
      </c>
      <c r="E199" s="33">
        <v>16</v>
      </c>
      <c r="F199" s="34">
        <f>2080000+1560000</f>
        <v>3640000</v>
      </c>
      <c r="G199" s="35">
        <f>16*24500</f>
        <v>392000</v>
      </c>
      <c r="H199" s="35">
        <f>96720+96720</f>
        <v>193440</v>
      </c>
      <c r="I199" s="35"/>
      <c r="J199" s="17">
        <f t="shared" si="3"/>
        <v>4225440</v>
      </c>
    </row>
    <row r="200" spans="1:10" ht="37.5">
      <c r="A200" s="19">
        <v>194</v>
      </c>
      <c r="B200" s="30" t="s">
        <v>363</v>
      </c>
      <c r="C200" s="31" t="s">
        <v>364</v>
      </c>
      <c r="D200" s="32" t="s">
        <v>365</v>
      </c>
      <c r="E200" s="33">
        <v>3</v>
      </c>
      <c r="F200" s="34">
        <v>500000</v>
      </c>
      <c r="G200" s="35">
        <f>30000*3</f>
        <v>90000</v>
      </c>
      <c r="H200" s="35"/>
      <c r="I200" s="34">
        <v>768296</v>
      </c>
      <c r="J200" s="17">
        <f t="shared" si="3"/>
        <v>1358296</v>
      </c>
    </row>
    <row r="201" spans="1:10" ht="37.5">
      <c r="A201" s="19">
        <v>195</v>
      </c>
      <c r="B201" s="30" t="s">
        <v>366</v>
      </c>
      <c r="C201" s="31" t="s">
        <v>20</v>
      </c>
      <c r="D201" s="32" t="s">
        <v>365</v>
      </c>
      <c r="E201" s="33">
        <v>14</v>
      </c>
      <c r="F201" s="34">
        <f>810000+400000</f>
        <v>1210000</v>
      </c>
      <c r="G201" s="35">
        <f>14*30000</f>
        <v>420000</v>
      </c>
      <c r="H201" s="35">
        <f>204000+367000+267500+348000+173000+100000+565992+370000+160000</f>
        <v>2555492</v>
      </c>
      <c r="I201" s="35"/>
      <c r="J201" s="17">
        <f t="shared" si="3"/>
        <v>4185492</v>
      </c>
    </row>
    <row r="202" spans="1:10" ht="37.5">
      <c r="A202" s="19">
        <v>196</v>
      </c>
      <c r="B202" s="30" t="s">
        <v>367</v>
      </c>
      <c r="C202" s="31" t="s">
        <v>364</v>
      </c>
      <c r="D202" s="32" t="s">
        <v>365</v>
      </c>
      <c r="E202" s="33">
        <v>3</v>
      </c>
      <c r="F202" s="34"/>
      <c r="G202" s="35">
        <f>30000*3</f>
        <v>90000</v>
      </c>
      <c r="H202" s="35">
        <f>240*2494</f>
        <v>598560</v>
      </c>
      <c r="I202" s="35"/>
      <c r="J202" s="17">
        <f t="shared" si="3"/>
        <v>688560</v>
      </c>
    </row>
    <row r="203" spans="1:10" ht="37.5">
      <c r="A203" s="19">
        <v>197</v>
      </c>
      <c r="B203" s="30" t="s">
        <v>368</v>
      </c>
      <c r="C203" s="31" t="s">
        <v>18</v>
      </c>
      <c r="D203" s="32" t="s">
        <v>369</v>
      </c>
      <c r="E203" s="33">
        <v>5</v>
      </c>
      <c r="F203" s="34">
        <f>400000+400000</f>
        <v>800000</v>
      </c>
      <c r="G203" s="35">
        <f>27000*5</f>
        <v>135000</v>
      </c>
      <c r="H203" s="35">
        <f>130500+195000</f>
        <v>325500</v>
      </c>
      <c r="I203" s="35"/>
      <c r="J203" s="17">
        <f t="shared" si="3"/>
        <v>1260500</v>
      </c>
    </row>
    <row r="204" spans="1:10" ht="37.5">
      <c r="A204" s="19">
        <v>198</v>
      </c>
      <c r="B204" s="30" t="s">
        <v>370</v>
      </c>
      <c r="C204" s="31" t="s">
        <v>20</v>
      </c>
      <c r="D204" s="32" t="s">
        <v>287</v>
      </c>
      <c r="E204" s="33">
        <v>3</v>
      </c>
      <c r="F204" s="34">
        <v>200000</v>
      </c>
      <c r="G204" s="35">
        <f>27000+30000+30000</f>
        <v>87000</v>
      </c>
      <c r="H204" s="35">
        <v>612195</v>
      </c>
      <c r="I204" s="35"/>
      <c r="J204" s="17">
        <f t="shared" si="3"/>
        <v>899195</v>
      </c>
    </row>
    <row r="205" spans="1:10" ht="37.5">
      <c r="A205" s="19">
        <v>199</v>
      </c>
      <c r="B205" s="30" t="s">
        <v>371</v>
      </c>
      <c r="C205" s="31" t="s">
        <v>21</v>
      </c>
      <c r="D205" s="32" t="s">
        <v>372</v>
      </c>
      <c r="E205" s="33">
        <v>8</v>
      </c>
      <c r="F205" s="34">
        <v>2000000</v>
      </c>
      <c r="G205" s="35">
        <f>30000*8</f>
        <v>240000</v>
      </c>
      <c r="H205" s="35">
        <v>494000</v>
      </c>
      <c r="I205" s="35"/>
      <c r="J205" s="17">
        <f t="shared" si="3"/>
        <v>2734000</v>
      </c>
    </row>
    <row r="206" spans="1:10" ht="56.25">
      <c r="A206" s="19">
        <v>200</v>
      </c>
      <c r="B206" s="30" t="s">
        <v>373</v>
      </c>
      <c r="C206" s="31" t="s">
        <v>29</v>
      </c>
      <c r="D206" s="32" t="s">
        <v>374</v>
      </c>
      <c r="E206" s="33">
        <v>10</v>
      </c>
      <c r="F206" s="34">
        <v>2100000</v>
      </c>
      <c r="G206" s="35">
        <f>30000*10</f>
        <v>300000</v>
      </c>
      <c r="H206" s="35">
        <f>66480*2</f>
        <v>132960</v>
      </c>
      <c r="I206" s="35"/>
      <c r="J206" s="17">
        <f t="shared" si="3"/>
        <v>2532960</v>
      </c>
    </row>
    <row r="207" spans="1:10" ht="37.5">
      <c r="A207" s="19">
        <v>201</v>
      </c>
      <c r="B207" s="30" t="s">
        <v>375</v>
      </c>
      <c r="C207" s="31" t="s">
        <v>14</v>
      </c>
      <c r="D207" s="32" t="s">
        <v>376</v>
      </c>
      <c r="E207" s="33">
        <v>9</v>
      </c>
      <c r="F207" s="34">
        <f>1600000+750000</f>
        <v>2350000</v>
      </c>
      <c r="G207" s="35">
        <f>30000*9</f>
        <v>270000</v>
      </c>
      <c r="H207" s="35">
        <f>419992+625256</f>
        <v>1045248</v>
      </c>
      <c r="I207" s="6"/>
      <c r="J207" s="17">
        <f t="shared" si="3"/>
        <v>3665248</v>
      </c>
    </row>
    <row r="208" spans="1:10" ht="37.5">
      <c r="A208" s="19">
        <v>202</v>
      </c>
      <c r="B208" s="30" t="s">
        <v>377</v>
      </c>
      <c r="C208" s="31" t="s">
        <v>22</v>
      </c>
      <c r="D208" s="32" t="s">
        <v>378</v>
      </c>
      <c r="E208" s="33">
        <v>5</v>
      </c>
      <c r="F208" s="34">
        <v>1200000</v>
      </c>
      <c r="G208" s="35">
        <f>30000*5</f>
        <v>150000</v>
      </c>
      <c r="H208" s="35">
        <f>142000+146000</f>
        <v>288000</v>
      </c>
      <c r="I208" s="6"/>
      <c r="J208" s="17">
        <f t="shared" si="3"/>
        <v>1638000</v>
      </c>
    </row>
    <row r="209" spans="1:10" ht="37.5">
      <c r="A209" s="19">
        <v>203</v>
      </c>
      <c r="B209" s="30" t="s">
        <v>379</v>
      </c>
      <c r="C209" s="31" t="s">
        <v>15</v>
      </c>
      <c r="D209" s="32" t="s">
        <v>380</v>
      </c>
      <c r="E209" s="33">
        <v>7</v>
      </c>
      <c r="F209" s="34"/>
      <c r="G209" s="35">
        <f>30000*7</f>
        <v>210000</v>
      </c>
      <c r="H209" s="35">
        <f>164184+164184</f>
        <v>328368</v>
      </c>
      <c r="I209" s="6"/>
      <c r="J209" s="17">
        <f t="shared" si="3"/>
        <v>538368</v>
      </c>
    </row>
    <row r="210" spans="1:10" ht="37.5">
      <c r="A210" s="19">
        <v>204</v>
      </c>
      <c r="B210" s="30" t="s">
        <v>381</v>
      </c>
      <c r="C210" s="31" t="s">
        <v>22</v>
      </c>
      <c r="D210" s="32" t="s">
        <v>382</v>
      </c>
      <c r="E210" s="33">
        <v>17</v>
      </c>
      <c r="F210" s="34">
        <v>3400000</v>
      </c>
      <c r="G210" s="35">
        <f>30000*17</f>
        <v>510000</v>
      </c>
      <c r="H210" s="35">
        <f>430000+287000+451000</f>
        <v>1168000</v>
      </c>
      <c r="I210" s="6"/>
      <c r="J210" s="17">
        <f t="shared" si="3"/>
        <v>5078000</v>
      </c>
    </row>
    <row r="211" spans="1:10" ht="37.5">
      <c r="A211" s="19">
        <v>205</v>
      </c>
      <c r="B211" s="30" t="s">
        <v>383</v>
      </c>
      <c r="C211" s="31" t="s">
        <v>23</v>
      </c>
      <c r="D211" s="32" t="s">
        <v>384</v>
      </c>
      <c r="E211" s="33">
        <v>8</v>
      </c>
      <c r="F211" s="34">
        <f>300000+300000+280000</f>
        <v>880000</v>
      </c>
      <c r="G211" s="35">
        <f>27000*8</f>
        <v>216000</v>
      </c>
      <c r="H211" s="35">
        <f>92280*2</f>
        <v>184560</v>
      </c>
      <c r="I211" s="6"/>
      <c r="J211" s="17">
        <f t="shared" si="3"/>
        <v>1280560</v>
      </c>
    </row>
    <row r="212" spans="1:10" ht="37.5">
      <c r="A212" s="19">
        <v>206</v>
      </c>
      <c r="B212" s="30" t="s">
        <v>385</v>
      </c>
      <c r="C212" s="31" t="s">
        <v>386</v>
      </c>
      <c r="D212" s="32" t="s">
        <v>387</v>
      </c>
      <c r="E212" s="33">
        <v>7</v>
      </c>
      <c r="F212" s="34">
        <f>450000*7</f>
        <v>3150000</v>
      </c>
      <c r="G212" s="35">
        <f>30000*7</f>
        <v>210000</v>
      </c>
      <c r="H212" s="16"/>
      <c r="I212" s="6"/>
      <c r="J212" s="17">
        <f t="shared" si="3"/>
        <v>3360000</v>
      </c>
    </row>
    <row r="213" spans="1:10" ht="37.5">
      <c r="A213" s="19">
        <v>207</v>
      </c>
      <c r="B213" s="30" t="s">
        <v>388</v>
      </c>
      <c r="C213" s="31" t="s">
        <v>29</v>
      </c>
      <c r="D213" s="32" t="s">
        <v>389</v>
      </c>
      <c r="E213" s="33">
        <v>1</v>
      </c>
      <c r="F213" s="34">
        <v>350000</v>
      </c>
      <c r="G213" s="35">
        <v>27000</v>
      </c>
      <c r="H213" s="16"/>
      <c r="I213" s="6"/>
      <c r="J213" s="17">
        <f t="shared" si="3"/>
        <v>377000</v>
      </c>
    </row>
    <row r="214" spans="1:10" ht="37.5">
      <c r="A214" s="19">
        <v>208</v>
      </c>
      <c r="B214" s="30" t="s">
        <v>390</v>
      </c>
      <c r="C214" s="31" t="s">
        <v>27</v>
      </c>
      <c r="D214" s="32" t="s">
        <v>391</v>
      </c>
      <c r="E214" s="33">
        <v>3</v>
      </c>
      <c r="F214" s="34"/>
      <c r="G214" s="35">
        <f>30000*3</f>
        <v>90000</v>
      </c>
      <c r="H214" s="35"/>
      <c r="I214" s="35"/>
      <c r="J214" s="17">
        <f t="shared" si="3"/>
        <v>90000</v>
      </c>
    </row>
    <row r="215" spans="1:10" ht="37.5">
      <c r="A215" s="19">
        <v>209</v>
      </c>
      <c r="B215" s="30" t="s">
        <v>392</v>
      </c>
      <c r="C215" s="31" t="s">
        <v>23</v>
      </c>
      <c r="D215" s="32" t="s">
        <v>393</v>
      </c>
      <c r="E215" s="33">
        <v>2</v>
      </c>
      <c r="F215" s="34">
        <v>1250000</v>
      </c>
      <c r="G215" s="35">
        <f>30000*2</f>
        <v>60000</v>
      </c>
      <c r="H215" s="35"/>
      <c r="I215" s="35"/>
      <c r="J215" s="17">
        <f t="shared" si="3"/>
        <v>1310000</v>
      </c>
    </row>
    <row r="216" spans="1:10" ht="37.5">
      <c r="A216" s="19">
        <v>210</v>
      </c>
      <c r="B216" s="30">
        <v>44779</v>
      </c>
      <c r="C216" s="31" t="s">
        <v>23</v>
      </c>
      <c r="D216" s="32" t="s">
        <v>394</v>
      </c>
      <c r="E216" s="33">
        <v>1</v>
      </c>
      <c r="F216" s="34"/>
      <c r="G216" s="35">
        <v>27000</v>
      </c>
      <c r="H216" s="35"/>
      <c r="I216" s="35"/>
      <c r="J216" s="17">
        <f t="shared" si="3"/>
        <v>27000</v>
      </c>
    </row>
    <row r="217" spans="1:10" ht="37.5">
      <c r="A217" s="19">
        <v>211</v>
      </c>
      <c r="B217" s="30" t="s">
        <v>395</v>
      </c>
      <c r="C217" s="31" t="s">
        <v>18</v>
      </c>
      <c r="D217" s="32" t="s">
        <v>396</v>
      </c>
      <c r="E217" s="33">
        <v>3</v>
      </c>
      <c r="F217" s="34"/>
      <c r="G217" s="35">
        <f>30000*3</f>
        <v>90000</v>
      </c>
      <c r="H217" s="35">
        <f>200000+146000</f>
        <v>346000</v>
      </c>
      <c r="I217" s="35"/>
      <c r="J217" s="17">
        <f t="shared" si="3"/>
        <v>436000</v>
      </c>
    </row>
    <row r="218" spans="1:10" ht="37.5">
      <c r="A218" s="19">
        <v>212</v>
      </c>
      <c r="B218" s="30" t="s">
        <v>397</v>
      </c>
      <c r="C218" s="31" t="s">
        <v>27</v>
      </c>
      <c r="D218" s="32" t="s">
        <v>398</v>
      </c>
      <c r="E218" s="33">
        <v>2</v>
      </c>
      <c r="F218" s="34"/>
      <c r="G218" s="35">
        <f>30000*2</f>
        <v>60000</v>
      </c>
      <c r="H218" s="35"/>
      <c r="I218" s="52">
        <f>800702+1319606</f>
        <v>2120308</v>
      </c>
      <c r="J218" s="17">
        <f t="shared" si="3"/>
        <v>2180308</v>
      </c>
    </row>
    <row r="219" spans="1:10" ht="37.5">
      <c r="A219" s="19">
        <v>213</v>
      </c>
      <c r="B219" s="30">
        <v>44705</v>
      </c>
      <c r="C219" s="31" t="s">
        <v>23</v>
      </c>
      <c r="D219" s="32" t="s">
        <v>399</v>
      </c>
      <c r="E219" s="33">
        <v>1</v>
      </c>
      <c r="F219" s="34"/>
      <c r="G219" s="35">
        <v>27000</v>
      </c>
      <c r="H219" s="35">
        <f>142000+142000</f>
        <v>284000</v>
      </c>
      <c r="I219" s="35"/>
      <c r="J219" s="17">
        <f t="shared" si="3"/>
        <v>311000</v>
      </c>
    </row>
    <row r="220" spans="1:10" ht="37.5">
      <c r="A220" s="19">
        <v>214</v>
      </c>
      <c r="B220" s="30">
        <v>44779</v>
      </c>
      <c r="C220" s="31" t="s">
        <v>18</v>
      </c>
      <c r="D220" s="32" t="s">
        <v>240</v>
      </c>
      <c r="E220" s="33">
        <v>6</v>
      </c>
      <c r="F220" s="34"/>
      <c r="G220" s="35">
        <f>27000*6</f>
        <v>162000</v>
      </c>
      <c r="H220" s="35">
        <f>200000+195000</f>
        <v>395000</v>
      </c>
      <c r="I220" s="35"/>
      <c r="J220" s="17">
        <f t="shared" si="3"/>
        <v>557000</v>
      </c>
    </row>
    <row r="221" spans="1:10" ht="56.25">
      <c r="A221" s="19">
        <v>215</v>
      </c>
      <c r="B221" s="30" t="s">
        <v>400</v>
      </c>
      <c r="C221" s="31" t="s">
        <v>401</v>
      </c>
      <c r="D221" s="32" t="s">
        <v>402</v>
      </c>
      <c r="E221" s="33">
        <v>2</v>
      </c>
      <c r="F221" s="34"/>
      <c r="G221" s="35">
        <f>27000*2</f>
        <v>54000</v>
      </c>
      <c r="H221" s="35">
        <v>400000</v>
      </c>
      <c r="I221" s="35"/>
      <c r="J221" s="17">
        <f t="shared" si="3"/>
        <v>454000</v>
      </c>
    </row>
    <row r="222" spans="1:10" ht="37.5">
      <c r="A222" s="19">
        <v>216</v>
      </c>
      <c r="B222" s="30" t="s">
        <v>403</v>
      </c>
      <c r="C222" s="31" t="s">
        <v>141</v>
      </c>
      <c r="D222" s="32" t="s">
        <v>404</v>
      </c>
      <c r="E222" s="33">
        <v>2</v>
      </c>
      <c r="F222" s="34"/>
      <c r="G222" s="35">
        <f>30000*2</f>
        <v>60000</v>
      </c>
      <c r="H222" s="35">
        <v>282000</v>
      </c>
      <c r="I222" s="34">
        <v>519294</v>
      </c>
      <c r="J222" s="17">
        <f t="shared" si="3"/>
        <v>861294</v>
      </c>
    </row>
    <row r="223" spans="1:10" ht="37.5">
      <c r="A223" s="19">
        <v>217</v>
      </c>
      <c r="B223" s="30" t="s">
        <v>405</v>
      </c>
      <c r="C223" s="31" t="s">
        <v>14</v>
      </c>
      <c r="D223" s="32" t="s">
        <v>406</v>
      </c>
      <c r="E223" s="33">
        <v>6</v>
      </c>
      <c r="F223" s="34">
        <v>1680000</v>
      </c>
      <c r="G223" s="35">
        <f>27000*6</f>
        <v>162000</v>
      </c>
      <c r="H223" s="35"/>
      <c r="I223" s="35"/>
      <c r="J223" s="17">
        <f t="shared" si="3"/>
        <v>1842000</v>
      </c>
    </row>
    <row r="224" spans="1:10" ht="37.5">
      <c r="A224" s="19">
        <v>218</v>
      </c>
      <c r="B224" s="30" t="s">
        <v>407</v>
      </c>
      <c r="C224" s="31" t="s">
        <v>14</v>
      </c>
      <c r="D224" s="32" t="s">
        <v>408</v>
      </c>
      <c r="E224" s="33">
        <v>10</v>
      </c>
      <c r="F224" s="34">
        <f>10.5*280000</f>
        <v>2940000</v>
      </c>
      <c r="G224" s="35">
        <f>30000*10</f>
        <v>300000</v>
      </c>
      <c r="H224" s="35"/>
      <c r="I224" s="35"/>
      <c r="J224" s="17">
        <f t="shared" si="3"/>
        <v>3240000</v>
      </c>
    </row>
    <row r="225" spans="1:10" ht="37.5">
      <c r="A225" s="19">
        <v>219</v>
      </c>
      <c r="B225" s="30" t="s">
        <v>409</v>
      </c>
      <c r="C225" s="31" t="s">
        <v>14</v>
      </c>
      <c r="D225" s="32" t="s">
        <v>410</v>
      </c>
      <c r="E225" s="33">
        <v>2</v>
      </c>
      <c r="F225" s="34">
        <v>200000</v>
      </c>
      <c r="G225" s="35">
        <f>27000*2</f>
        <v>54000</v>
      </c>
      <c r="H225" s="35"/>
      <c r="I225" s="35"/>
      <c r="J225" s="17">
        <f t="shared" si="3"/>
        <v>254000</v>
      </c>
    </row>
    <row r="226" spans="1:10" ht="37.5">
      <c r="A226" s="19">
        <v>220</v>
      </c>
      <c r="B226" s="30" t="s">
        <v>411</v>
      </c>
      <c r="C226" s="31" t="s">
        <v>22</v>
      </c>
      <c r="D226" s="32" t="s">
        <v>412</v>
      </c>
      <c r="E226" s="33">
        <v>5</v>
      </c>
      <c r="F226" s="34">
        <v>350000</v>
      </c>
      <c r="G226" s="35">
        <f>30000*5</f>
        <v>150000</v>
      </c>
      <c r="H226" s="35"/>
      <c r="I226" s="35"/>
      <c r="J226" s="17">
        <f t="shared" si="3"/>
        <v>500000</v>
      </c>
    </row>
    <row r="227" spans="1:10" ht="37.5">
      <c r="A227" s="19">
        <v>221</v>
      </c>
      <c r="B227" s="30" t="s">
        <v>245</v>
      </c>
      <c r="C227" s="31" t="s">
        <v>20</v>
      </c>
      <c r="D227" s="32" t="s">
        <v>413</v>
      </c>
      <c r="E227" s="33">
        <v>7</v>
      </c>
      <c r="F227" s="34"/>
      <c r="G227" s="35">
        <f>27000*7</f>
        <v>189000</v>
      </c>
      <c r="H227" s="35"/>
      <c r="I227" s="35"/>
      <c r="J227" s="17">
        <f t="shared" si="3"/>
        <v>189000</v>
      </c>
    </row>
    <row r="228" spans="1:10" ht="37.5">
      <c r="A228" s="19">
        <v>222</v>
      </c>
      <c r="B228" s="30" t="s">
        <v>411</v>
      </c>
      <c r="C228" s="31" t="s">
        <v>22</v>
      </c>
      <c r="D228" s="32" t="s">
        <v>412</v>
      </c>
      <c r="E228" s="33">
        <v>5</v>
      </c>
      <c r="F228" s="34">
        <v>180000</v>
      </c>
      <c r="G228" s="35">
        <f>30000*5</f>
        <v>150000</v>
      </c>
      <c r="H228" s="35">
        <f>510400+602000</f>
        <v>1112400</v>
      </c>
      <c r="I228" s="35"/>
      <c r="J228" s="17">
        <f t="shared" si="3"/>
        <v>1442400</v>
      </c>
    </row>
    <row r="229" spans="1:10" ht="56.25">
      <c r="A229" s="19">
        <v>223</v>
      </c>
      <c r="B229" s="30" t="s">
        <v>314</v>
      </c>
      <c r="C229" s="31" t="s">
        <v>414</v>
      </c>
      <c r="D229" s="32" t="s">
        <v>415</v>
      </c>
      <c r="E229" s="33">
        <v>3</v>
      </c>
      <c r="F229" s="34"/>
      <c r="G229" s="35">
        <f>27000*2</f>
        <v>54000</v>
      </c>
      <c r="H229" s="35">
        <f>376000+690000+788500+300000</f>
        <v>2154500</v>
      </c>
      <c r="I229" s="35"/>
      <c r="J229" s="17">
        <f t="shared" si="3"/>
        <v>2208500</v>
      </c>
    </row>
    <row r="230" spans="1:10" ht="37.5">
      <c r="A230" s="19">
        <v>224</v>
      </c>
      <c r="B230" s="30" t="s">
        <v>416</v>
      </c>
      <c r="C230" s="31" t="s">
        <v>22</v>
      </c>
      <c r="D230" s="32" t="s">
        <v>417</v>
      </c>
      <c r="E230" s="33">
        <v>25</v>
      </c>
      <c r="F230" s="34">
        <v>6000000</v>
      </c>
      <c r="G230" s="35">
        <f>30000*25</f>
        <v>750000</v>
      </c>
      <c r="H230" s="35">
        <f>103200+89000</f>
        <v>192200</v>
      </c>
      <c r="I230" s="35"/>
      <c r="J230" s="17">
        <f t="shared" si="3"/>
        <v>6942200</v>
      </c>
    </row>
    <row r="231" spans="1:10" ht="37.5">
      <c r="A231" s="19">
        <v>225</v>
      </c>
      <c r="B231" s="30" t="s">
        <v>418</v>
      </c>
      <c r="C231" s="31" t="s">
        <v>22</v>
      </c>
      <c r="D231" s="32" t="s">
        <v>419</v>
      </c>
      <c r="E231" s="33">
        <v>21</v>
      </c>
      <c r="F231" s="34">
        <f>200000+3150000</f>
        <v>3350000</v>
      </c>
      <c r="G231" s="35">
        <f>330000+524000</f>
        <v>854000</v>
      </c>
      <c r="H231" s="35">
        <f>195000+270302</f>
        <v>465302</v>
      </c>
      <c r="I231" s="35"/>
      <c r="J231" s="17">
        <f t="shared" si="3"/>
        <v>4669302</v>
      </c>
    </row>
    <row r="232" spans="1:10" ht="75">
      <c r="A232" s="19">
        <v>226</v>
      </c>
      <c r="B232" s="30" t="s">
        <v>420</v>
      </c>
      <c r="C232" s="31" t="s">
        <v>13</v>
      </c>
      <c r="D232" s="32" t="s">
        <v>421</v>
      </c>
      <c r="E232" s="33">
        <v>4</v>
      </c>
      <c r="F232" s="34">
        <v>600000</v>
      </c>
      <c r="G232" s="35">
        <f>30000*4</f>
        <v>120000</v>
      </c>
      <c r="H232" s="35">
        <f>178000+153800+102200+132000</f>
        <v>566000</v>
      </c>
      <c r="I232" s="35"/>
      <c r="J232" s="17">
        <f t="shared" si="3"/>
        <v>1286000</v>
      </c>
    </row>
    <row r="233" spans="1:10" ht="37.5">
      <c r="A233" s="19">
        <v>227</v>
      </c>
      <c r="B233" s="30" t="s">
        <v>422</v>
      </c>
      <c r="C233" s="31" t="s">
        <v>21</v>
      </c>
      <c r="D233" s="32" t="s">
        <v>423</v>
      </c>
      <c r="E233" s="33">
        <v>3</v>
      </c>
      <c r="F233" s="34">
        <v>900000</v>
      </c>
      <c r="G233" s="35">
        <f>30000*3</f>
        <v>90000</v>
      </c>
      <c r="H233" s="35">
        <f>146000+200000</f>
        <v>346000</v>
      </c>
      <c r="I233" s="39"/>
      <c r="J233" s="17">
        <f t="shared" si="3"/>
        <v>1336000</v>
      </c>
    </row>
    <row r="234" spans="1:10" ht="37.5">
      <c r="A234" s="19">
        <v>228</v>
      </c>
      <c r="B234" s="30" t="s">
        <v>422</v>
      </c>
      <c r="C234" s="31" t="s">
        <v>21</v>
      </c>
      <c r="D234" s="32" t="s">
        <v>423</v>
      </c>
      <c r="E234" s="33">
        <v>3</v>
      </c>
      <c r="F234" s="34">
        <v>900000</v>
      </c>
      <c r="G234" s="35">
        <f>30000*3</f>
        <v>90000</v>
      </c>
      <c r="H234" s="35">
        <f>146000+200000</f>
        <v>346000</v>
      </c>
      <c r="I234" s="35"/>
      <c r="J234" s="17">
        <f t="shared" si="3"/>
        <v>1336000</v>
      </c>
    </row>
    <row r="235" spans="1:10" ht="56.25">
      <c r="A235" s="19">
        <v>229</v>
      </c>
      <c r="B235" s="30" t="s">
        <v>424</v>
      </c>
      <c r="C235" s="31" t="s">
        <v>23</v>
      </c>
      <c r="D235" s="32" t="s">
        <v>425</v>
      </c>
      <c r="E235" s="33">
        <v>22</v>
      </c>
      <c r="F235" s="34">
        <f>2400000+2700000+900000</f>
        <v>6000000</v>
      </c>
      <c r="G235" s="35">
        <f>22*30000</f>
        <v>660000</v>
      </c>
      <c r="H235" s="35">
        <f>91800+91800</f>
        <v>183600</v>
      </c>
      <c r="I235" s="35"/>
      <c r="J235" s="17">
        <f t="shared" si="3"/>
        <v>6843600</v>
      </c>
    </row>
    <row r="236" spans="1:10" ht="37.5">
      <c r="A236" s="19">
        <v>230</v>
      </c>
      <c r="B236" s="30" t="s">
        <v>426</v>
      </c>
      <c r="C236" s="31" t="s">
        <v>27</v>
      </c>
      <c r="D236" s="32" t="s">
        <v>427</v>
      </c>
      <c r="E236" s="33">
        <v>2</v>
      </c>
      <c r="F236" s="34"/>
      <c r="G236" s="35">
        <f>27000*2</f>
        <v>54000</v>
      </c>
      <c r="H236" s="35"/>
      <c r="I236" s="6"/>
      <c r="J236" s="17">
        <f t="shared" si="3"/>
        <v>54000</v>
      </c>
    </row>
    <row r="237" spans="1:10" ht="37.5">
      <c r="A237" s="19">
        <v>231</v>
      </c>
      <c r="B237" s="30">
        <v>44707</v>
      </c>
      <c r="C237" s="31" t="s">
        <v>241</v>
      </c>
      <c r="D237" s="32" t="s">
        <v>428</v>
      </c>
      <c r="E237" s="33">
        <v>1</v>
      </c>
      <c r="F237" s="34"/>
      <c r="G237" s="35">
        <v>27000</v>
      </c>
      <c r="H237" s="35">
        <v>408000</v>
      </c>
      <c r="I237" s="6"/>
      <c r="J237" s="17">
        <f t="shared" si="3"/>
        <v>435000</v>
      </c>
    </row>
    <row r="238" spans="1:10" ht="37.5">
      <c r="A238" s="19">
        <v>232</v>
      </c>
      <c r="B238" s="30" t="s">
        <v>429</v>
      </c>
      <c r="C238" s="31" t="s">
        <v>13</v>
      </c>
      <c r="D238" s="32" t="s">
        <v>430</v>
      </c>
      <c r="E238" s="33">
        <v>3</v>
      </c>
      <c r="F238" s="34"/>
      <c r="G238" s="35">
        <f>27000*3</f>
        <v>81000</v>
      </c>
      <c r="H238" s="35">
        <v>204000</v>
      </c>
      <c r="I238" s="6"/>
      <c r="J238" s="17">
        <f t="shared" si="3"/>
        <v>285000</v>
      </c>
    </row>
    <row r="239" spans="1:10" ht="37.5">
      <c r="A239" s="19">
        <v>233</v>
      </c>
      <c r="B239" s="30" t="s">
        <v>431</v>
      </c>
      <c r="C239" s="31" t="s">
        <v>15</v>
      </c>
      <c r="D239" s="32" t="s">
        <v>432</v>
      </c>
      <c r="E239" s="33">
        <v>9</v>
      </c>
      <c r="F239" s="34"/>
      <c r="G239" s="35">
        <f>30000*9</f>
        <v>270000</v>
      </c>
      <c r="H239" s="35">
        <f>603000+643500+500000+380000+570000+565000</f>
        <v>3261500</v>
      </c>
      <c r="I239" s="6"/>
      <c r="J239" s="17">
        <f t="shared" si="3"/>
        <v>3531500</v>
      </c>
    </row>
    <row r="240" spans="1:10" ht="75">
      <c r="A240" s="19">
        <v>234</v>
      </c>
      <c r="B240" s="30" t="s">
        <v>433</v>
      </c>
      <c r="C240" s="31" t="s">
        <v>434</v>
      </c>
      <c r="D240" s="32" t="s">
        <v>435</v>
      </c>
      <c r="E240" s="33">
        <v>43</v>
      </c>
      <c r="F240" s="34">
        <f>900000+1500000+1000000+9000000</f>
        <v>12400000</v>
      </c>
      <c r="G240" s="35">
        <f>30000*43</f>
        <v>1290000</v>
      </c>
      <c r="H240" s="35">
        <f>265000+320000+115000+280800+288600+279000+217500+252000+117000+168000+403200+280000+273000+273000+296400+150000+488500</f>
        <v>4467000</v>
      </c>
      <c r="I240" s="6"/>
      <c r="J240" s="17">
        <f t="shared" si="3"/>
        <v>18157000</v>
      </c>
    </row>
    <row r="241" spans="1:10" ht="37.5">
      <c r="A241" s="19">
        <v>235</v>
      </c>
      <c r="B241" s="30" t="s">
        <v>436</v>
      </c>
      <c r="C241" s="31" t="s">
        <v>23</v>
      </c>
      <c r="D241" s="32" t="s">
        <v>437</v>
      </c>
      <c r="E241" s="33">
        <v>10</v>
      </c>
      <c r="F241" s="34">
        <f>800000+200000+200000</f>
        <v>1200000</v>
      </c>
      <c r="G241" s="35">
        <f>30000*10</f>
        <v>300000</v>
      </c>
      <c r="H241" s="35">
        <v>93000</v>
      </c>
      <c r="I241" s="6"/>
      <c r="J241" s="17">
        <f t="shared" si="3"/>
        <v>1593000</v>
      </c>
    </row>
    <row r="242" spans="1:10" ht="37.5">
      <c r="A242" s="19">
        <v>236</v>
      </c>
      <c r="B242" s="30" t="s">
        <v>403</v>
      </c>
      <c r="C242" s="31" t="s">
        <v>23</v>
      </c>
      <c r="D242" s="32" t="s">
        <v>437</v>
      </c>
      <c r="E242" s="33">
        <v>2</v>
      </c>
      <c r="F242" s="34"/>
      <c r="G242" s="35">
        <f>30000*2</f>
        <v>60000</v>
      </c>
      <c r="H242" s="35">
        <f>197000+66000+153000+100000</f>
        <v>516000</v>
      </c>
      <c r="I242" s="6"/>
      <c r="J242" s="17">
        <f t="shared" si="3"/>
        <v>576000</v>
      </c>
    </row>
    <row r="243" spans="1:10" ht="37.5">
      <c r="A243" s="19">
        <v>237</v>
      </c>
      <c r="B243" s="30" t="s">
        <v>438</v>
      </c>
      <c r="C243" s="31" t="s">
        <v>23</v>
      </c>
      <c r="D243" s="32" t="s">
        <v>439</v>
      </c>
      <c r="E243" s="33">
        <v>5</v>
      </c>
      <c r="F243" s="34">
        <v>800000</v>
      </c>
      <c r="G243" s="35">
        <f>30000*5</f>
        <v>150000</v>
      </c>
      <c r="H243" s="35">
        <v>138410</v>
      </c>
      <c r="I243" s="6"/>
      <c r="J243" s="17">
        <f t="shared" si="3"/>
        <v>1088410</v>
      </c>
    </row>
    <row r="244" spans="1:10" ht="37.5">
      <c r="A244" s="19">
        <v>238</v>
      </c>
      <c r="B244" s="30" t="s">
        <v>440</v>
      </c>
      <c r="C244" s="31" t="s">
        <v>27</v>
      </c>
      <c r="D244" s="32" t="s">
        <v>441</v>
      </c>
      <c r="E244" s="33">
        <v>16</v>
      </c>
      <c r="F244" s="34">
        <f>260000+1980000+250000+690000</f>
        <v>3180000</v>
      </c>
      <c r="G244" s="35">
        <f>30000*16</f>
        <v>480000</v>
      </c>
      <c r="H244" s="35">
        <f>384885+96600+84910+96600</f>
        <v>662995</v>
      </c>
      <c r="I244" s="35"/>
      <c r="J244" s="17">
        <f t="shared" si="3"/>
        <v>4322995</v>
      </c>
    </row>
    <row r="245" spans="1:10" ht="37.5">
      <c r="A245" s="19">
        <v>239</v>
      </c>
      <c r="B245" s="30" t="s">
        <v>442</v>
      </c>
      <c r="C245" s="31" t="s">
        <v>241</v>
      </c>
      <c r="D245" s="32" t="s">
        <v>443</v>
      </c>
      <c r="E245" s="33">
        <v>8</v>
      </c>
      <c r="F245" s="34"/>
      <c r="G245" s="35">
        <f>30000*8</f>
        <v>240000</v>
      </c>
      <c r="H245" s="35">
        <f>180000+224000+200000</f>
        <v>604000</v>
      </c>
      <c r="I245" s="35"/>
      <c r="J245" s="17">
        <f t="shared" si="3"/>
        <v>844000</v>
      </c>
    </row>
    <row r="246" spans="1:10" ht="37.5">
      <c r="A246" s="19">
        <v>240</v>
      </c>
      <c r="B246" s="30" t="s">
        <v>444</v>
      </c>
      <c r="C246" s="31" t="s">
        <v>14</v>
      </c>
      <c r="D246" s="32" t="s">
        <v>445</v>
      </c>
      <c r="E246" s="33">
        <v>4</v>
      </c>
      <c r="F246" s="34">
        <v>1500000</v>
      </c>
      <c r="G246" s="35">
        <f>4*30000</f>
        <v>120000</v>
      </c>
      <c r="H246" s="35"/>
      <c r="I246" s="34">
        <f>762828+787398</f>
        <v>1550226</v>
      </c>
      <c r="J246" s="17">
        <f t="shared" si="3"/>
        <v>3170226</v>
      </c>
    </row>
    <row r="247" spans="1:10" ht="37.5">
      <c r="A247" s="19">
        <v>241</v>
      </c>
      <c r="B247" s="30" t="s">
        <v>446</v>
      </c>
      <c r="C247" s="31" t="s">
        <v>14</v>
      </c>
      <c r="D247" s="32" t="s">
        <v>447</v>
      </c>
      <c r="E247" s="33">
        <v>5</v>
      </c>
      <c r="F247" s="34">
        <v>1200000</v>
      </c>
      <c r="G247" s="35">
        <f>5*30000</f>
        <v>150000</v>
      </c>
      <c r="H247" s="35"/>
      <c r="I247" s="34">
        <f>787398</f>
        <v>787398</v>
      </c>
      <c r="J247" s="17">
        <f t="shared" si="3"/>
        <v>2137398</v>
      </c>
    </row>
    <row r="248" spans="1:10" ht="37.5">
      <c r="A248" s="19">
        <v>242</v>
      </c>
      <c r="B248" s="30" t="s">
        <v>448</v>
      </c>
      <c r="C248" s="31" t="s">
        <v>449</v>
      </c>
      <c r="D248" s="32" t="s">
        <v>450</v>
      </c>
      <c r="E248" s="33">
        <v>14</v>
      </c>
      <c r="F248" s="34">
        <v>3600000</v>
      </c>
      <c r="G248" s="35">
        <f>14*30000</f>
        <v>420000</v>
      </c>
      <c r="H248" s="35">
        <v>0</v>
      </c>
      <c r="I248" s="35"/>
      <c r="J248" s="17">
        <f t="shared" si="3"/>
        <v>4020000</v>
      </c>
    </row>
    <row r="249" spans="1:10" ht="37.5">
      <c r="A249" s="19">
        <v>243</v>
      </c>
      <c r="B249" s="30" t="s">
        <v>451</v>
      </c>
      <c r="C249" s="31" t="s">
        <v>14</v>
      </c>
      <c r="D249" s="32" t="s">
        <v>452</v>
      </c>
      <c r="E249" s="33">
        <v>4</v>
      </c>
      <c r="F249" s="34">
        <v>1200000</v>
      </c>
      <c r="G249" s="35">
        <f>30000*4</f>
        <v>120000</v>
      </c>
      <c r="H249" s="35">
        <v>0</v>
      </c>
      <c r="I249" s="34">
        <v>679404</v>
      </c>
      <c r="J249" s="17">
        <f t="shared" si="3"/>
        <v>1999404</v>
      </c>
    </row>
    <row r="250" spans="1:10" ht="37.5">
      <c r="A250" s="19">
        <v>244</v>
      </c>
      <c r="B250" s="30" t="s">
        <v>453</v>
      </c>
      <c r="C250" s="31" t="s">
        <v>14</v>
      </c>
      <c r="D250" s="32" t="s">
        <v>454</v>
      </c>
      <c r="E250" s="33">
        <v>4</v>
      </c>
      <c r="F250" s="34">
        <v>900000</v>
      </c>
      <c r="G250" s="35">
        <f>30000*4</f>
        <v>120000</v>
      </c>
      <c r="H250" s="35">
        <f>43980*2</f>
        <v>87960</v>
      </c>
      <c r="I250" s="34">
        <f>785106+683682</f>
        <v>1468788</v>
      </c>
      <c r="J250" s="17">
        <f t="shared" si="3"/>
        <v>2576748</v>
      </c>
    </row>
    <row r="251" spans="1:10" ht="37.5">
      <c r="A251" s="19">
        <v>245</v>
      </c>
      <c r="B251" s="30" t="s">
        <v>455</v>
      </c>
      <c r="C251" s="31" t="s">
        <v>13</v>
      </c>
      <c r="D251" s="32" t="s">
        <v>443</v>
      </c>
      <c r="E251" s="33">
        <v>9</v>
      </c>
      <c r="F251" s="34"/>
      <c r="G251" s="35">
        <f>9*30000</f>
        <v>270000</v>
      </c>
      <c r="H251" s="35">
        <f>93000*2</f>
        <v>186000</v>
      </c>
      <c r="I251" s="35"/>
      <c r="J251" s="17">
        <f t="shared" si="3"/>
        <v>456000</v>
      </c>
    </row>
    <row r="252" spans="1:10" ht="18.75">
      <c r="A252" s="10"/>
      <c r="B252" s="11"/>
      <c r="C252" s="8"/>
      <c r="D252" s="11"/>
      <c r="E252" s="12">
        <f>SUM(E7:E162)</f>
        <v>929</v>
      </c>
      <c r="F252" s="12">
        <f>SUM(F7:F251)</f>
        <v>250536500</v>
      </c>
      <c r="G252" s="12">
        <f>SUM(G7:G251)</f>
        <v>46223000</v>
      </c>
      <c r="H252" s="12">
        <f>SUM(H7:H251)</f>
        <v>108485507</v>
      </c>
      <c r="I252" s="12">
        <f>SUM(I7:I251)</f>
        <v>23983085</v>
      </c>
      <c r="J252" s="12">
        <f>SUM(J7:J251)</f>
        <v>429228092</v>
      </c>
    </row>
  </sheetData>
  <sheetProtection/>
  <autoFilter ref="A6:M251"/>
  <mergeCells count="7">
    <mergeCell ref="B2:J2"/>
    <mergeCell ref="A4:J4"/>
    <mergeCell ref="A5:A6"/>
    <mergeCell ref="B5:C5"/>
    <mergeCell ref="D5:D6"/>
    <mergeCell ref="E5:I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2022-10-09T06:27:51Z</cp:lastPrinted>
  <dcterms:created xsi:type="dcterms:W3CDTF">2022-01-18T13:42:21Z</dcterms:created>
  <dcterms:modified xsi:type="dcterms:W3CDTF">2022-10-11T06:35:28Z</dcterms:modified>
  <cp:category/>
  <cp:version/>
  <cp:contentType/>
  <cp:contentStatus/>
</cp:coreProperties>
</file>